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rsam-my.sharepoint.com/personal/ingrida_grinceviciute_sam_lt/Documents/Desktop/Tikslinės dotacijos biurams rodiklių planas/"/>
    </mc:Choice>
  </mc:AlternateContent>
  <xr:revisionPtr revIDLastSave="10" documentId="8_{2DDE08B3-0C02-475B-948C-3C5C1E4F59E6}" xr6:coauthVersionLast="47" xr6:coauthVersionMax="47" xr10:uidLastSave="{10AADDD0-D1D0-45BF-AD76-02F2EF5CFD37}"/>
  <bookViews>
    <workbookView xWindow="-120" yWindow="-120" windowWidth="29040" windowHeight="15720" tabRatio="765" xr2:uid="{00000000-000D-0000-FFFF-FFFF00000000}"/>
  </bookViews>
  <sheets>
    <sheet name="Paaiškinimas" sheetId="6" r:id="rId1"/>
    <sheet name="planas" sheetId="3" r:id="rId2"/>
    <sheet name="pagrindimas" sheetId="5" r:id="rId3"/>
  </sheets>
  <definedNames>
    <definedName name="_xlnm._FilterDatabase" localSheetId="1" hidden="1">planas!$A$22:$U$85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3" i="3" l="1"/>
  <c r="N83" i="3"/>
  <c r="L83" i="3"/>
  <c r="U84" i="3"/>
  <c r="T84" i="3"/>
  <c r="S84" i="3"/>
  <c r="U83" i="3"/>
  <c r="T83" i="3"/>
  <c r="S83" i="3"/>
  <c r="R83" i="3"/>
  <c r="H57" i="3" l="1"/>
  <c r="H56" i="3"/>
  <c r="K65" i="3"/>
  <c r="M41" i="3"/>
  <c r="H71" i="3"/>
  <c r="H50" i="3"/>
  <c r="H51" i="3"/>
  <c r="H52" i="3"/>
  <c r="Y27" i="3" l="1"/>
  <c r="G59" i="3"/>
  <c r="H59" i="3"/>
  <c r="J59" i="3" s="1"/>
  <c r="H58" i="3"/>
  <c r="H60" i="3"/>
  <c r="B83" i="3"/>
  <c r="I59" i="3" l="1"/>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60" i="3"/>
  <c r="G61" i="3"/>
  <c r="G62" i="3"/>
  <c r="G63" i="3"/>
  <c r="G64" i="3"/>
  <c r="G65" i="3"/>
  <c r="G66" i="3"/>
  <c r="G67" i="3"/>
  <c r="G68" i="3"/>
  <c r="G69" i="3"/>
  <c r="G70" i="3"/>
  <c r="G71" i="3"/>
  <c r="G72" i="3"/>
  <c r="G73" i="3"/>
  <c r="G74" i="3"/>
  <c r="G75" i="3"/>
  <c r="G76" i="3"/>
  <c r="G77" i="3"/>
  <c r="G78" i="3"/>
  <c r="G79" i="3"/>
  <c r="G80" i="3"/>
  <c r="G81" i="3"/>
  <c r="G82" i="3"/>
  <c r="I58" i="3" l="1"/>
  <c r="J58" i="3"/>
  <c r="H24" i="3"/>
  <c r="H25" i="3"/>
  <c r="H26" i="3"/>
  <c r="H27" i="3"/>
  <c r="H28" i="3"/>
  <c r="H29" i="3"/>
  <c r="H30" i="3"/>
  <c r="I30" i="3" s="1"/>
  <c r="H31" i="3"/>
  <c r="H32" i="3"/>
  <c r="H33" i="3"/>
  <c r="H34" i="3"/>
  <c r="H35" i="3"/>
  <c r="H36" i="3"/>
  <c r="H39" i="3"/>
  <c r="H40" i="3"/>
  <c r="J40" i="3" s="1"/>
  <c r="H41" i="3"/>
  <c r="H43" i="3"/>
  <c r="H44" i="3"/>
  <c r="H45" i="3"/>
  <c r="H46" i="3"/>
  <c r="H47" i="3"/>
  <c r="H48" i="3"/>
  <c r="H49" i="3"/>
  <c r="J49" i="3" s="1"/>
  <c r="H53" i="3"/>
  <c r="H54" i="3"/>
  <c r="H55" i="3"/>
  <c r="J55" i="3" s="1"/>
  <c r="H61" i="3"/>
  <c r="H62" i="3"/>
  <c r="H63" i="3"/>
  <c r="H64" i="3"/>
  <c r="H65" i="3"/>
  <c r="H67" i="3"/>
  <c r="H68" i="3"/>
  <c r="H69" i="3"/>
  <c r="H70" i="3"/>
  <c r="H72" i="3"/>
  <c r="H73" i="3"/>
  <c r="H74" i="3"/>
  <c r="H75" i="3"/>
  <c r="H76" i="3"/>
  <c r="H77" i="3"/>
  <c r="H78" i="3"/>
  <c r="H81" i="3"/>
  <c r="H82" i="3"/>
  <c r="H23" i="3"/>
  <c r="J23" i="3" s="1"/>
  <c r="F92" i="3"/>
  <c r="F91" i="3"/>
  <c r="E92" i="3"/>
  <c r="E91" i="3"/>
  <c r="D92" i="3"/>
  <c r="D91" i="3"/>
  <c r="C91" i="3"/>
  <c r="C92" i="3"/>
  <c r="F89" i="3"/>
  <c r="E89" i="3"/>
  <c r="D89" i="3"/>
  <c r="C89" i="3"/>
  <c r="I64" i="3" l="1"/>
  <c r="I52" i="3" l="1"/>
  <c r="I40" i="3"/>
  <c r="I28" i="3"/>
  <c r="J73" i="3"/>
  <c r="I74" i="3"/>
  <c r="I50" i="3"/>
  <c r="I26" i="3"/>
  <c r="I62" i="3"/>
  <c r="J61" i="3"/>
  <c r="I82" i="3"/>
  <c r="I70" i="3"/>
  <c r="I46" i="3"/>
  <c r="I34" i="3"/>
  <c r="I81" i="3"/>
  <c r="I69" i="3"/>
  <c r="I57" i="3"/>
  <c r="I45" i="3"/>
  <c r="I33" i="3"/>
  <c r="I68" i="3"/>
  <c r="I56" i="3"/>
  <c r="I44" i="3"/>
  <c r="I32" i="3"/>
  <c r="I67" i="3"/>
  <c r="I55" i="3"/>
  <c r="I43" i="3"/>
  <c r="I31" i="3"/>
  <c r="I78" i="3"/>
  <c r="I54" i="3"/>
  <c r="I77" i="3"/>
  <c r="I65" i="3"/>
  <c r="I53" i="3"/>
  <c r="I41" i="3"/>
  <c r="I29" i="3"/>
  <c r="J76" i="3"/>
  <c r="J64" i="3"/>
  <c r="J52" i="3"/>
  <c r="J28" i="3"/>
  <c r="I75" i="3"/>
  <c r="I63" i="3"/>
  <c r="I51" i="3"/>
  <c r="I39" i="3"/>
  <c r="I27" i="3"/>
  <c r="J74" i="3"/>
  <c r="J62" i="3"/>
  <c r="J50" i="3"/>
  <c r="J26" i="3"/>
  <c r="I73" i="3"/>
  <c r="I61" i="3"/>
  <c r="I49" i="3"/>
  <c r="I25" i="3"/>
  <c r="I72" i="3"/>
  <c r="I60" i="3"/>
  <c r="I48" i="3"/>
  <c r="I36" i="3"/>
  <c r="I24" i="3"/>
  <c r="I71" i="3"/>
  <c r="I47" i="3"/>
  <c r="I35" i="3"/>
  <c r="I76" i="3"/>
  <c r="J27" i="3"/>
  <c r="J75" i="3"/>
  <c r="J63" i="3"/>
  <c r="J51" i="3"/>
  <c r="J39" i="3"/>
  <c r="J25" i="3"/>
  <c r="J72" i="3"/>
  <c r="J60" i="3"/>
  <c r="J48" i="3"/>
  <c r="J36" i="3"/>
  <c r="J24" i="3"/>
  <c r="J71" i="3"/>
  <c r="J47" i="3"/>
  <c r="J35" i="3"/>
  <c r="J82" i="3"/>
  <c r="J70" i="3"/>
  <c r="J46" i="3"/>
  <c r="J34" i="3"/>
  <c r="I23" i="3"/>
  <c r="J81" i="3"/>
  <c r="J69" i="3"/>
  <c r="J57" i="3"/>
  <c r="J45" i="3"/>
  <c r="J33" i="3"/>
  <c r="J68" i="3"/>
  <c r="J56" i="3"/>
  <c r="J44" i="3"/>
  <c r="J32" i="3"/>
  <c r="J67" i="3"/>
  <c r="J43" i="3"/>
  <c r="J31" i="3"/>
  <c r="J78" i="3"/>
  <c r="J54" i="3"/>
  <c r="J30" i="3"/>
  <c r="J77" i="3"/>
  <c r="J65" i="3"/>
  <c r="J53" i="3"/>
  <c r="J41" i="3"/>
  <c r="J29" i="3"/>
  <c r="D90" i="3" l="1"/>
  <c r="D93" i="3" s="1"/>
  <c r="E90" i="3"/>
  <c r="E93" i="3" s="1"/>
  <c r="F90" i="3"/>
  <c r="F93" i="3" s="1"/>
  <c r="M42" i="3" l="1"/>
  <c r="O74" i="3"/>
  <c r="O32" i="3"/>
  <c r="O59" i="3"/>
  <c r="K23" i="3"/>
  <c r="K40" i="3"/>
  <c r="K58" i="3"/>
  <c r="M40" i="3"/>
  <c r="O40" i="3"/>
  <c r="M58" i="3"/>
  <c r="O46" i="3"/>
  <c r="O80" i="3"/>
  <c r="O42" i="3"/>
  <c r="O79" i="3"/>
  <c r="O66" i="3"/>
  <c r="O37" i="3"/>
  <c r="M80" i="3"/>
  <c r="M37" i="3"/>
  <c r="O38" i="3"/>
  <c r="M79" i="3"/>
  <c r="M66" i="3"/>
  <c r="M38" i="3"/>
  <c r="O44" i="3"/>
  <c r="O56" i="3"/>
  <c r="O68" i="3"/>
  <c r="M33" i="3"/>
  <c r="M45" i="3"/>
  <c r="M57" i="3"/>
  <c r="M69" i="3"/>
  <c r="M81" i="3"/>
  <c r="O23" i="3"/>
  <c r="M24" i="3"/>
  <c r="M72" i="3"/>
  <c r="O48" i="3"/>
  <c r="O72" i="3"/>
  <c r="M49" i="3"/>
  <c r="O25" i="3"/>
  <c r="O61" i="3"/>
  <c r="M62" i="3"/>
  <c r="M51" i="3"/>
  <c r="O39" i="3"/>
  <c r="O75" i="3"/>
  <c r="M52" i="3"/>
  <c r="O76" i="3"/>
  <c r="M53" i="3"/>
  <c r="M77" i="3"/>
  <c r="O53" i="3"/>
  <c r="M30" i="3"/>
  <c r="M54" i="3"/>
  <c r="M78" i="3"/>
  <c r="O54" i="3"/>
  <c r="M31" i="3"/>
  <c r="M67" i="3"/>
  <c r="O31" i="3"/>
  <c r="O67" i="3"/>
  <c r="M44" i="3"/>
  <c r="O33" i="3"/>
  <c r="O45" i="3"/>
  <c r="O57" i="3"/>
  <c r="O69" i="3"/>
  <c r="O81" i="3"/>
  <c r="M34" i="3"/>
  <c r="M46" i="3"/>
  <c r="M70" i="3"/>
  <c r="M82" i="3"/>
  <c r="O35" i="3"/>
  <c r="M48" i="3"/>
  <c r="O36" i="3"/>
  <c r="M25" i="3"/>
  <c r="M73" i="3"/>
  <c r="O49" i="3"/>
  <c r="M26" i="3"/>
  <c r="M74" i="3"/>
  <c r="O50" i="3"/>
  <c r="M27" i="3"/>
  <c r="M63" i="3"/>
  <c r="O27" i="3"/>
  <c r="O63" i="3"/>
  <c r="M76" i="3"/>
  <c r="O64" i="3"/>
  <c r="M29" i="3"/>
  <c r="M65" i="3"/>
  <c r="O41" i="3"/>
  <c r="O77" i="3"/>
  <c r="O78" i="3"/>
  <c r="O43" i="3"/>
  <c r="M32" i="3"/>
  <c r="O34" i="3"/>
  <c r="O58" i="3"/>
  <c r="O70" i="3"/>
  <c r="O82" i="3"/>
  <c r="M35" i="3"/>
  <c r="M47" i="3"/>
  <c r="M59" i="3"/>
  <c r="M71" i="3"/>
  <c r="M23" i="3"/>
  <c r="O47" i="3"/>
  <c r="O71" i="3"/>
  <c r="M36" i="3"/>
  <c r="M60" i="3"/>
  <c r="O24" i="3"/>
  <c r="O60" i="3"/>
  <c r="O73" i="3"/>
  <c r="M50" i="3"/>
  <c r="O26" i="3"/>
  <c r="O62" i="3"/>
  <c r="M39" i="3"/>
  <c r="M75" i="3"/>
  <c r="O51" i="3"/>
  <c r="M28" i="3"/>
  <c r="M64" i="3"/>
  <c r="O52" i="3"/>
  <c r="O29" i="3"/>
  <c r="O65" i="3"/>
  <c r="O30" i="3"/>
  <c r="M43" i="3"/>
  <c r="O55" i="3"/>
  <c r="M68" i="3"/>
  <c r="M61" i="3"/>
  <c r="M55" i="3"/>
  <c r="M56" i="3"/>
  <c r="K80" i="3"/>
  <c r="K79" i="3"/>
  <c r="K42" i="3"/>
  <c r="K38" i="3"/>
  <c r="K37" i="3"/>
  <c r="K24" i="3"/>
  <c r="K36" i="3"/>
  <c r="K48" i="3"/>
  <c r="K60" i="3"/>
  <c r="K72" i="3"/>
  <c r="K28" i="3"/>
  <c r="K52" i="3"/>
  <c r="K64" i="3"/>
  <c r="K57" i="3"/>
  <c r="K70" i="3"/>
  <c r="K35" i="3"/>
  <c r="K59" i="3"/>
  <c r="K25" i="3"/>
  <c r="K49" i="3"/>
  <c r="K61" i="3"/>
  <c r="K73" i="3"/>
  <c r="K76" i="3"/>
  <c r="K68" i="3"/>
  <c r="K81" i="3"/>
  <c r="K46" i="3"/>
  <c r="K82" i="3"/>
  <c r="K47" i="3"/>
  <c r="K26" i="3"/>
  <c r="K50" i="3"/>
  <c r="K62" i="3"/>
  <c r="K74" i="3"/>
  <c r="K71" i="3"/>
  <c r="K27" i="3"/>
  <c r="K39" i="3"/>
  <c r="K51" i="3"/>
  <c r="K63" i="3"/>
  <c r="K75" i="3"/>
  <c r="K29" i="3"/>
  <c r="K53" i="3"/>
  <c r="K77" i="3"/>
  <c r="K31" i="3"/>
  <c r="K43" i="3"/>
  <c r="K55" i="3"/>
  <c r="K67" i="3"/>
  <c r="K45" i="3"/>
  <c r="K30" i="3"/>
  <c r="K54" i="3"/>
  <c r="K78" i="3"/>
  <c r="K56" i="3"/>
  <c r="K69" i="3"/>
  <c r="K34" i="3"/>
  <c r="K32" i="3"/>
  <c r="K33" i="3"/>
  <c r="O83" i="3" l="1"/>
  <c r="M83" i="3"/>
  <c r="K83" i="3"/>
  <c r="C90" i="3" l="1"/>
  <c r="C93" i="3" s="1"/>
  <c r="Q40" i="3" l="1"/>
  <c r="Y40" i="3" s="1"/>
  <c r="Q28" i="3"/>
  <c r="Y28" i="3" s="1"/>
  <c r="H80" i="3"/>
  <c r="H79" i="3"/>
  <c r="I79" i="3" s="1"/>
  <c r="H66" i="3"/>
  <c r="H38" i="3"/>
  <c r="H42" i="3"/>
  <c r="Q80" i="3"/>
  <c r="Q79" i="3"/>
  <c r="Q37" i="3"/>
  <c r="Q66" i="3"/>
  <c r="Q42" i="3"/>
  <c r="Q38" i="3"/>
  <c r="Q24" i="3"/>
  <c r="Q36" i="3"/>
  <c r="Q48" i="3"/>
  <c r="Q60" i="3"/>
  <c r="Q72" i="3"/>
  <c r="Q23" i="3"/>
  <c r="Q77" i="3"/>
  <c r="Q68" i="3"/>
  <c r="Q45" i="3"/>
  <c r="Q81" i="3"/>
  <c r="Q70" i="3"/>
  <c r="Q71" i="3"/>
  <c r="Q25" i="3"/>
  <c r="Q49" i="3"/>
  <c r="Q61" i="3"/>
  <c r="Q73" i="3"/>
  <c r="Q32" i="3"/>
  <c r="Q58" i="3"/>
  <c r="Q26" i="3"/>
  <c r="Q50" i="3"/>
  <c r="Q62" i="3"/>
  <c r="Q74" i="3"/>
  <c r="W40" i="3"/>
  <c r="X40" i="3" s="1"/>
  <c r="Q52" i="3"/>
  <c r="Q64" i="3"/>
  <c r="Q69" i="3"/>
  <c r="W27" i="3"/>
  <c r="X27" i="3" s="1"/>
  <c r="Q39" i="3"/>
  <c r="Q51" i="3"/>
  <c r="Q63" i="3"/>
  <c r="Q75" i="3"/>
  <c r="Q76" i="3"/>
  <c r="Q35" i="3"/>
  <c r="W28" i="3"/>
  <c r="X28" i="3" s="1"/>
  <c r="Q47" i="3"/>
  <c r="Q29" i="3"/>
  <c r="Q41" i="3"/>
  <c r="Q53" i="3"/>
  <c r="Q65" i="3"/>
  <c r="Q44" i="3"/>
  <c r="Q46" i="3"/>
  <c r="Q30" i="3"/>
  <c r="Q54" i="3"/>
  <c r="Q78" i="3"/>
  <c r="Q31" i="3"/>
  <c r="Q43" i="3"/>
  <c r="Q55" i="3"/>
  <c r="Q67" i="3"/>
  <c r="Q56" i="3"/>
  <c r="Q33" i="3"/>
  <c r="Q57" i="3"/>
  <c r="Q34" i="3"/>
  <c r="Q82" i="3"/>
  <c r="Q59" i="3"/>
  <c r="W59" i="3" l="1"/>
  <c r="X59" i="3" s="1"/>
  <c r="Y59" i="3"/>
  <c r="W82" i="3"/>
  <c r="X82" i="3" s="1"/>
  <c r="Y82" i="3"/>
  <c r="W34" i="3"/>
  <c r="X34" i="3" s="1"/>
  <c r="Y34" i="3"/>
  <c r="W57" i="3"/>
  <c r="X57" i="3" s="1"/>
  <c r="Y57" i="3"/>
  <c r="W33" i="3"/>
  <c r="X33" i="3" s="1"/>
  <c r="Y33" i="3"/>
  <c r="W56" i="3"/>
  <c r="X56" i="3" s="1"/>
  <c r="Y56" i="3"/>
  <c r="W67" i="3"/>
  <c r="X67" i="3" s="1"/>
  <c r="Y67" i="3"/>
  <c r="W55" i="3"/>
  <c r="X55" i="3" s="1"/>
  <c r="Y55" i="3"/>
  <c r="W43" i="3"/>
  <c r="X43" i="3" s="1"/>
  <c r="Y43" i="3"/>
  <c r="W31" i="3"/>
  <c r="X31" i="3" s="1"/>
  <c r="Y31" i="3"/>
  <c r="W78" i="3"/>
  <c r="X78" i="3" s="1"/>
  <c r="Y78" i="3"/>
  <c r="W54" i="3"/>
  <c r="X54" i="3" s="1"/>
  <c r="Y54" i="3"/>
  <c r="W30" i="3"/>
  <c r="X30" i="3" s="1"/>
  <c r="Y30" i="3"/>
  <c r="W46" i="3"/>
  <c r="X46" i="3" s="1"/>
  <c r="Y46" i="3"/>
  <c r="W44" i="3"/>
  <c r="X44" i="3" s="1"/>
  <c r="Y44" i="3"/>
  <c r="W65" i="3"/>
  <c r="X65" i="3" s="1"/>
  <c r="Y65" i="3"/>
  <c r="W53" i="3"/>
  <c r="X53" i="3" s="1"/>
  <c r="Y53" i="3"/>
  <c r="W41" i="3"/>
  <c r="X41" i="3" s="1"/>
  <c r="Y41" i="3"/>
  <c r="W29" i="3"/>
  <c r="X29" i="3" s="1"/>
  <c r="Y29" i="3"/>
  <c r="W47" i="3"/>
  <c r="X47" i="3" s="1"/>
  <c r="Y47" i="3"/>
  <c r="W35" i="3"/>
  <c r="X35" i="3" s="1"/>
  <c r="Y35" i="3"/>
  <c r="W76" i="3"/>
  <c r="X76" i="3" s="1"/>
  <c r="Y76" i="3"/>
  <c r="W75" i="3"/>
  <c r="X75" i="3" s="1"/>
  <c r="Y75" i="3"/>
  <c r="W63" i="3"/>
  <c r="X63" i="3" s="1"/>
  <c r="Y63" i="3"/>
  <c r="W51" i="3"/>
  <c r="X51" i="3" s="1"/>
  <c r="Y51" i="3"/>
  <c r="W39" i="3"/>
  <c r="X39" i="3" s="1"/>
  <c r="Y39" i="3"/>
  <c r="W69" i="3"/>
  <c r="X69" i="3" s="1"/>
  <c r="Y69" i="3"/>
  <c r="W64" i="3"/>
  <c r="X64" i="3" s="1"/>
  <c r="Y64" i="3"/>
  <c r="W52" i="3"/>
  <c r="X52" i="3" s="1"/>
  <c r="Y52" i="3"/>
  <c r="W74" i="3"/>
  <c r="X74" i="3" s="1"/>
  <c r="Y74" i="3"/>
  <c r="W62" i="3"/>
  <c r="X62" i="3" s="1"/>
  <c r="Y62" i="3"/>
  <c r="W50" i="3"/>
  <c r="X50" i="3" s="1"/>
  <c r="Y50" i="3"/>
  <c r="W26" i="3"/>
  <c r="X26" i="3" s="1"/>
  <c r="Y26" i="3"/>
  <c r="W58" i="3"/>
  <c r="X58" i="3" s="1"/>
  <c r="Y58" i="3"/>
  <c r="W32" i="3"/>
  <c r="X32" i="3" s="1"/>
  <c r="Y32" i="3"/>
  <c r="W73" i="3"/>
  <c r="X73" i="3" s="1"/>
  <c r="Y73" i="3"/>
  <c r="W61" i="3"/>
  <c r="X61" i="3" s="1"/>
  <c r="Y61" i="3"/>
  <c r="W49" i="3"/>
  <c r="X49" i="3" s="1"/>
  <c r="Y49" i="3"/>
  <c r="W25" i="3"/>
  <c r="X25" i="3" s="1"/>
  <c r="Y25" i="3"/>
  <c r="W71" i="3"/>
  <c r="X71" i="3" s="1"/>
  <c r="Y71" i="3"/>
  <c r="W70" i="3"/>
  <c r="X70" i="3" s="1"/>
  <c r="Y70" i="3"/>
  <c r="W81" i="3"/>
  <c r="X81" i="3" s="1"/>
  <c r="Y81" i="3"/>
  <c r="W45" i="3"/>
  <c r="X45" i="3" s="1"/>
  <c r="Y45" i="3"/>
  <c r="W68" i="3"/>
  <c r="X68" i="3" s="1"/>
  <c r="Y68" i="3"/>
  <c r="W77" i="3"/>
  <c r="X77" i="3" s="1"/>
  <c r="Y77" i="3"/>
  <c r="W23" i="3"/>
  <c r="X23" i="3" s="1"/>
  <c r="Y23" i="3"/>
  <c r="W72" i="3"/>
  <c r="X72" i="3" s="1"/>
  <c r="Y72" i="3"/>
  <c r="W60" i="3"/>
  <c r="X60" i="3" s="1"/>
  <c r="Y60" i="3"/>
  <c r="W48" i="3"/>
  <c r="X48" i="3" s="1"/>
  <c r="Y48" i="3"/>
  <c r="W36" i="3"/>
  <c r="X36" i="3" s="1"/>
  <c r="Y36" i="3"/>
  <c r="W24" i="3"/>
  <c r="X24" i="3" s="1"/>
  <c r="Y24" i="3"/>
  <c r="W38" i="3"/>
  <c r="X38" i="3" s="1"/>
  <c r="Y38" i="3"/>
  <c r="W42" i="3"/>
  <c r="X42" i="3" s="1"/>
  <c r="Y42" i="3"/>
  <c r="W66" i="3"/>
  <c r="X66" i="3" s="1"/>
  <c r="Y66" i="3"/>
  <c r="W37" i="3"/>
  <c r="X37" i="3" s="1"/>
  <c r="Y37" i="3"/>
  <c r="W79" i="3"/>
  <c r="X79" i="3" s="1"/>
  <c r="Y79" i="3"/>
  <c r="W80" i="3"/>
  <c r="X80" i="3" s="1"/>
  <c r="Y80" i="3"/>
  <c r="Q83" i="3"/>
  <c r="I42" i="3"/>
  <c r="J42" i="3"/>
  <c r="I38" i="3"/>
  <c r="J38" i="3"/>
  <c r="H37" i="3"/>
  <c r="J66" i="3"/>
  <c r="I66" i="3"/>
  <c r="J79" i="3"/>
  <c r="J80" i="3"/>
  <c r="I80" i="3"/>
  <c r="I37" i="3" l="1"/>
  <c r="J3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Ignas Rubikas</author>
  </authors>
  <commentList>
    <comment ref="I21" authorId="0" shapeId="0" xr:uid="{57FF98DF-A8E4-4C3E-8079-0D775839F966}">
      <text>
        <r>
          <rPr>
            <sz val="9"/>
            <color indexed="81"/>
            <rFont val="Tahoma"/>
            <family val="2"/>
            <charset val="186"/>
          </rPr>
          <t>- rodikliai nepasiekti
+ rodikliai viršyti</t>
        </r>
      </text>
    </comment>
  </commentList>
</comments>
</file>

<file path=xl/sharedStrings.xml><?xml version="1.0" encoding="utf-8"?>
<sst xmlns="http://schemas.openxmlformats.org/spreadsheetml/2006/main" count="176" uniqueCount="160">
  <si>
    <t>Visuomenės psichikos sveikatos priežiūros stebėsenos rodiklių 2026 m. reikšmių nustatymo planas</t>
  </si>
  <si>
    <t>Kaip veikia planas</t>
  </si>
  <si>
    <t>Kur rasti informaciją</t>
  </si>
  <si>
    <t xml:space="preserve">Valstybės biudžeto 2026-2028 m. projekte visuomenės sveikatos biurams numatyta 5 681 tūkst. eurų tikslinė dotacija visuomenės psichikos sveikatos stiprinimui. Šios lėšos paskirstomos savivaldybėms pagal V-932 įsakyme (planavimo ir paskirstymo metodika) numatytus normatyvus. Pagal šiuos normatyvus, savivaldybės iki 100 tūkst. gyventojų už 1 gyventoją gauna didesnes lėšas, nei savivaldybės turinčios 100-199 tūkst. gyventojų, o šios - daugiau nei savivaldybės, turinčios 200 tūkst. gyventojų. </t>
  </si>
  <si>
    <t>B stulpelis</t>
  </si>
  <si>
    <t>Nustatant veiklos rodiklių normatyvus savivaldybėms, buvo įvedamas paslaugų masto koregavimo koeficientas, atsižvelgiant į V-932 metodikos 26 punkte nustatytus vieno specialisto normatyvus gyventojų skaičiui, pagal kurį skirtomos lėšos DU biurams</t>
  </si>
  <si>
    <t>B91-F93 langeliai</t>
  </si>
  <si>
    <t>Nustatytos 4 bazinės privalomos veiklos, ir joms nacionaliniu mastu nustatyti siektini minimalūs rodikliai</t>
  </si>
  <si>
    <t>22 eilutė</t>
  </si>
  <si>
    <t>Privalomų veiklų minimalios rodiklių siektinos reikšmės paskirstytos pagal savivaldybes, atsižvelgiant į tos tikslinės grupės gyventojų skaičių konkrečioje savivaldybėje. VSB turi planuotis ne mažesnes nei nurodytas reikšmes bazinėms privalomoms veikloms.</t>
  </si>
  <si>
    <t>Gyventojų skaičius C-F stulpeliai
Minimalios siektinos reikšmės K, M, O, Q stulpeliai</t>
  </si>
  <si>
    <t>Bazinėms neprivalomoms (pasirenkamoms) veikloms siektinos reikšmės nenustatytos. Biurams paliekama laisvė spręsti, ar rinktis šias veiklas (išskyrus savivaldybes, kurioms pasirenkamos veiklos nustatytos kaip privalomos Bazinių visuomenės sveikatos priežiūros paslaugų plane, priimtame VSB komisijos), taip pat dėl šių veiklų masto, jas pasirinkus (išskyrus minimalią įdarbinamo etato dalį koordinatoriams).</t>
  </si>
  <si>
    <t>S-U stulpeliai</t>
  </si>
  <si>
    <t>Socialinio recepto koordinatorių ir savižudybių prevencijos koordinatorių rekomenduojami normatyvai ir minimali nustatyta įdarbinamo etato dalis yra nurodyti lape "pagrindimas"</t>
  </si>
  <si>
    <t>lapas "pagrindimas"</t>
  </si>
  <si>
    <t>Atsižvelgiant į savivaldybėms skiriamus asignavimus, apskaičiuojamas savivaldybei skiriamų balų skaičius, kurie nurodo pasiektinų paslaugų mastą</t>
  </si>
  <si>
    <t>G stulpelis</t>
  </si>
  <si>
    <r>
      <rPr>
        <u/>
        <sz val="11"/>
        <color theme="1"/>
        <rFont val="Calibri"/>
        <family val="2"/>
        <charset val="186"/>
        <scheme val="minor"/>
      </rPr>
      <t>Bendra visų vykdomų veiklų apimtis turi atitikti VSB skirtą balų sumą</t>
    </r>
    <r>
      <rPr>
        <sz val="11"/>
        <color theme="1"/>
        <rFont val="Calibri"/>
        <family val="2"/>
        <scheme val="minor"/>
      </rPr>
      <t>. Tai apskaičiuojama taip:</t>
    </r>
  </si>
  <si>
    <r>
      <t xml:space="preserve">a) kiekvienai veiklai nustatoma vieno rodiklio vieneto (paslaugos, asmens, valandos ir kt.) </t>
    </r>
    <r>
      <rPr>
        <i/>
        <sz val="11"/>
        <color theme="1"/>
        <rFont val="Calibri"/>
        <family val="2"/>
        <charset val="186"/>
        <scheme val="minor"/>
      </rPr>
      <t>santykinė</t>
    </r>
    <r>
      <rPr>
        <sz val="11"/>
        <color theme="1"/>
        <rFont val="Calibri"/>
        <family val="2"/>
        <scheme val="minor"/>
      </rPr>
      <t xml:space="preserve"> vertė balais.</t>
    </r>
  </si>
  <si>
    <t>Vertė nurodyta 20 eilutėje</t>
  </si>
  <si>
    <t>Rodiklio vieneto santykinės vertės balais pagrindimas aprašytas lape "pagrindimas", detalizuojant prielaidas, kuriomis remiamasi skaičiuojant, ir skaičiavimo formulę.</t>
  </si>
  <si>
    <t>b) Biurui suplanavus siektinas reikšmes visoms veikloms, kurias numato vykdyti, automatiškai apskaičiuojama kiekvienos veiklos santykinė vertė (rodiklio skaičius x rodiklio vertė), ir tuomet - bendra visų planuojamų veiklų vertė santykiniais balais</t>
  </si>
  <si>
    <t>H stulpelis</t>
  </si>
  <si>
    <t>c) apskaičiuojamas nuokrypis tarp biurui skirto balų skaičiaus ir suplanuotų paslaugų apimties konvertuotos į balus, pagal rodiklių skaičius, absoliučia ir procentine išraiška</t>
  </si>
  <si>
    <t>I, J stulpeliai</t>
  </si>
  <si>
    <t>Demografiniai rodikliai</t>
  </si>
  <si>
    <t>Kriterijų reikšmių pasiekimo vertinimas</t>
  </si>
  <si>
    <t>Bazinės privalomos veiklos</t>
  </si>
  <si>
    <t>Bazinės pasirenkamos (papildomos) veiklos</t>
  </si>
  <si>
    <t>Ankstyvosios intervencijos programa, dalyviai baigę programą</t>
  </si>
  <si>
    <t>Priklausomybės konsultantų paslaugos, konsultacijos</t>
  </si>
  <si>
    <t>Savižudybių prevencijos mokymai, dalyviai</t>
  </si>
  <si>
    <t>Psichologinės gerovės paslaugos, vienetai</t>
  </si>
  <si>
    <t>Mokyklų darbuotojų kompetencijų didinimas, dalyvių skaičius</t>
  </si>
  <si>
    <t>Socialinio recepto iniciatyva, dalyvių skaičius</t>
  </si>
  <si>
    <t>Savižudybių prevencijos koordinavimas, valandų skaičius</t>
  </si>
  <si>
    <t>Balai už 1 vnt. rodiklio</t>
  </si>
  <si>
    <t>Savivaldybė</t>
  </si>
  <si>
    <r>
      <t xml:space="preserve">Skirtas finansavimas </t>
    </r>
    <r>
      <rPr>
        <b/>
        <sz val="10"/>
        <rFont val="Times New Roman"/>
        <family val="1"/>
        <charset val="186"/>
      </rPr>
      <t>2026</t>
    </r>
    <r>
      <rPr>
        <sz val="10"/>
        <rFont val="Times New Roman"/>
        <family val="1"/>
        <charset val="186"/>
      </rPr>
      <t xml:space="preserve"> m., Eur</t>
    </r>
  </si>
  <si>
    <t>Gyventojų skaičius 2025-07-01</t>
  </si>
  <si>
    <t>Darbingo amžiaus gyventojų skaičius 2025-01-01</t>
  </si>
  <si>
    <t>Pensinio amžiaus gyventojų skaičius 2025-01-01</t>
  </si>
  <si>
    <t>12-18 m. gyventojų skaičius 2025-01-01</t>
  </si>
  <si>
    <t>Pasiektinų balų skaičius, BALAI</t>
  </si>
  <si>
    <t>Suplanuota paslaugų už, balai</t>
  </si>
  <si>
    <t>Skirtumas, balai</t>
  </si>
  <si>
    <t>Skirtumas, proc.</t>
  </si>
  <si>
    <t>Minimalus skaičius</t>
  </si>
  <si>
    <t>Planuojamas skaičius (įrašykite)</t>
  </si>
  <si>
    <t xml:space="preserve"> Minimalus skaičius</t>
  </si>
  <si>
    <t>Minimaliai privalomų paslaugų už, balai</t>
  </si>
  <si>
    <t>Metimo rūkyti paslaugų</t>
  </si>
  <si>
    <t>IŠ VISO LIETUVOJE</t>
  </si>
  <si>
    <t>rekomenduojamas ir minimalus krūvis - "pagrindimas" lape</t>
  </si>
  <si>
    <t>Akmenės r. sav.</t>
  </si>
  <si>
    <t>Alytaus m. sav.</t>
  </si>
  <si>
    <t>Alytaus r. sav.</t>
  </si>
  <si>
    <t>Anykščių r. sav.</t>
  </si>
  <si>
    <t>Birštono sav.</t>
  </si>
  <si>
    <t>Biržų r. sav.</t>
  </si>
  <si>
    <t>Druskininkų sav.</t>
  </si>
  <si>
    <t>Elektrėnų sav.</t>
  </si>
  <si>
    <t>Ignalinos r. sav.</t>
  </si>
  <si>
    <t>Jonavos r. sav.</t>
  </si>
  <si>
    <t>Joniškio r. sav.</t>
  </si>
  <si>
    <t>Jurbarko r. sav.</t>
  </si>
  <si>
    <t>Kaišiadorių r. sav.</t>
  </si>
  <si>
    <t>Kalvarijos sav.</t>
  </si>
  <si>
    <t>Kauno m. sav.</t>
  </si>
  <si>
    <t>Kauno r. sav.</t>
  </si>
  <si>
    <t>Kazlų Rūdos sav.</t>
  </si>
  <si>
    <t>Kėdainių r. sav.</t>
  </si>
  <si>
    <t>Kelmės r. sav.</t>
  </si>
  <si>
    <t>Klaipėdos m. sav.</t>
  </si>
  <si>
    <t>Klaipėdos r. sav.</t>
  </si>
  <si>
    <t>Kretingos r. sav.</t>
  </si>
  <si>
    <t>Kupiškio r. sav.</t>
  </si>
  <si>
    <t>Lazdijų r. sav.</t>
  </si>
  <si>
    <t>Marijampolės sav.</t>
  </si>
  <si>
    <t>Mažeikių r. sav.</t>
  </si>
  <si>
    <t>Molėtų r. sav.</t>
  </si>
  <si>
    <t>Neringos sav.</t>
  </si>
  <si>
    <t>Pagėgių sav.</t>
  </si>
  <si>
    <t>Pakruojo r. sav.</t>
  </si>
  <si>
    <t>Palangos m. sav.</t>
  </si>
  <si>
    <t>Panevėžio m. sav.</t>
  </si>
  <si>
    <t>Panevėžio r. sav.</t>
  </si>
  <si>
    <t>Pasvalio r. sav.</t>
  </si>
  <si>
    <t>Plungės r. sav.</t>
  </si>
  <si>
    <t>Prienų r. sav.</t>
  </si>
  <si>
    <t>Radviliškio r. sav.</t>
  </si>
  <si>
    <t>Raseinių r. sav.</t>
  </si>
  <si>
    <t>Rietavo sav.</t>
  </si>
  <si>
    <t>Rokiškio r. sav.</t>
  </si>
  <si>
    <t>Skuodo r. sav.</t>
  </si>
  <si>
    <t>Šakių r. sav.</t>
  </si>
  <si>
    <t>Šalčininkų r. sav.</t>
  </si>
  <si>
    <t>Šiaulių m. sav.</t>
  </si>
  <si>
    <t>Šiaulių r. sav.</t>
  </si>
  <si>
    <t>Šilalės r. sav.</t>
  </si>
  <si>
    <t>Šilutės r. sav.</t>
  </si>
  <si>
    <t>Širvintų r. sav.</t>
  </si>
  <si>
    <t>Švenčionių r. sav.</t>
  </si>
  <si>
    <t>Tauragės r. sav.</t>
  </si>
  <si>
    <t>Telšių r. sav.</t>
  </si>
  <si>
    <t>Trakų r. sav.</t>
  </si>
  <si>
    <t>Ukmergės r. sav.</t>
  </si>
  <si>
    <t>Utenos r. sav.</t>
  </si>
  <si>
    <t>Varėnos r. sav.</t>
  </si>
  <si>
    <t>Vilkaviškio r. sav.</t>
  </si>
  <si>
    <t>Vilniaus m. sav.</t>
  </si>
  <si>
    <t>Vilniaus r. sav.</t>
  </si>
  <si>
    <t>Visagino sav.</t>
  </si>
  <si>
    <t>Zarasų r. sav.</t>
  </si>
  <si>
    <t>Rodiklių reikšmių suma</t>
  </si>
  <si>
    <t>Skirta balų iš viso 2026 m.</t>
  </si>
  <si>
    <t xml:space="preserve"> </t>
  </si>
  <si>
    <t>Koregavimo koeficientas (privalomiems rodikliams)</t>
  </si>
  <si>
    <t>Viso gyventojų Lietuvoje</t>
  </si>
  <si>
    <t>Gyventojų savivaldybėse &lt;100 tūkst.</t>
  </si>
  <si>
    <t>Gyventojų savivaldybėse 100-199 tūkst.</t>
  </si>
  <si>
    <t>Gyventojų savivaldybėse &gt;200 tūkst.</t>
  </si>
  <si>
    <t>Sąlyginis gyventojų skaičius diferencijavus pagal santykinį svorį</t>
  </si>
  <si>
    <t>Bendros pastabos</t>
  </si>
  <si>
    <t>Ankstyvosios intervencijos programa</t>
  </si>
  <si>
    <t>Priklausomybės konsultantai</t>
  </si>
  <si>
    <t>Baziniai savižudybių prevencijos mokymai</t>
  </si>
  <si>
    <t>Psichologinės gerovės paslaugos</t>
  </si>
  <si>
    <t>Mokyklų darbuotojų kompetencijų didinimas</t>
  </si>
  <si>
    <t>Metimo rūkyti pagalba</t>
  </si>
  <si>
    <t>Socialinio recepto iniciatyva</t>
  </si>
  <si>
    <t>Savižudybių prevencijos koordinatoriai</t>
  </si>
  <si>
    <t>Vieneto vertė, balai</t>
  </si>
  <si>
    <t>Asmuo, baigęs ankstyvosios intevencijos programą = 12,9 balo</t>
  </si>
  <si>
    <t>Priklausomybės konsultanto konsultacija = 2,3 balo</t>
  </si>
  <si>
    <t>Asmuo, baigęs bazinius savižudybių prevencijos mokymus = 3,2 balo
Asmuo, baigęs savižudybės grėsmės intervencijos mokymus = 9,6 balo</t>
  </si>
  <si>
    <t>Psichologinės gerovės ir psichikos sveikatos stiprinimo paslauga = 3,4 balo</t>
  </si>
  <si>
    <t>Mokyklų darbuotojų kompetencijų didinimo mokymų dalyvis = 33 balai</t>
  </si>
  <si>
    <t>Vienas asmuo, baigęs konsultacijų ciklą = 250 Eur</t>
  </si>
  <si>
    <t>Asmuo, gavęs socialinio recepto paslaugas = 18 balų</t>
  </si>
  <si>
    <t>Savižudybių prevencijos koordinatoriaus darbo valanda = 1,6 balo</t>
  </si>
  <si>
    <r>
      <t xml:space="preserve">* Skaičiuojant paslaugos vertinimo rodiklio vienetui priskiriamų balų skaičių, atsižvelgiama ir į prognozuojamus orientacinius paslaugos teikimo kaštus
* orientaciniai paslaugos teikimo kaštai skaičiuojami remiantis ESFA atliekamais fiksuotųjų vieneto įkainių nustatymo tyrimais (žr. https://www.esinvesticijos.lt/dokumentai ) ir (ar) 2013-10-11 SAM įsakymo Nr. V-932 nurodyta visuomenės sveikatos specialisto darbo užmokesčio nustatymo metodika.
* </t>
    </r>
    <r>
      <rPr>
        <sz val="12"/>
        <color rgb="FFFF0000"/>
        <rFont val="Calibri"/>
        <family val="2"/>
        <charset val="186"/>
        <scheme val="minor"/>
      </rPr>
      <t xml:space="preserve">Pažymėtina, kad nustatytos vieneto vertės balais ir jų apskaičiavimo formulėje naudojami dydžiai neįpareigoja biurų vadovautis šiais skaičiavimais, nustatant paslaugų teikimo sąlygas pirkimo dokumentuose ar paslaugas teikiančių specialistų darbo sutartyse
</t>
    </r>
    <r>
      <rPr>
        <sz val="10"/>
        <rFont val="Calibri"/>
        <family val="2"/>
        <charset val="186"/>
        <scheme val="minor"/>
      </rPr>
      <t xml:space="preserve">* </t>
    </r>
    <r>
      <rPr>
        <sz val="10"/>
        <color theme="1"/>
        <rFont val="Calibri"/>
        <family val="2"/>
        <charset val="186"/>
        <scheme val="minor"/>
      </rPr>
      <t>Biurai skatinami įgyvendinti veiklas efektyviausiu įmanomu būdu, suteikti kuo daugiau paslaugų ir viršyti nustatytas minimalias rodiklių reikšmes.</t>
    </r>
  </si>
  <si>
    <t>Skaičiuojant vertinimo rodiklio vieneto vertę balais, atsižvelgiant į intervencijos turinį ir reikalaujamą specialisto kvalifikaciją, naudotas ESFA apskaičiuotas psichologo (psichoterapeuto) vienos valandos darbo užmokesčio išlaidų fiksuotasis vieneto įkainis [1], kuris 2024.07.01 tyrimo duomenimis, yra 24,52 Eur.
Intervencijos trukmė - 8 val.
Grupės dydis = 8 dalyviai (vidutinė vertė tarp 4-12 asmenų pagal aprašą)
Minimali baigusiųjų programą dalis nuo visų dalyvaujančių (gaunančių paslaugą) - 0,8
Koeficientas dėl grupinės veiklos organizavimo (pagal Psichologinės gerovės ir psichikos sveikatos stiprinimo grupinių paslaugų rodiklių skaičiavimo techninėje kortelėje nustatytą tvarką) - 3
Kitų išlaidų fiksuotoji norma pagal ESFA metodiką ir ES reglamentą [4] - 40%
Balo vertė - 10 Eur
Rodiklio vieneto vertė balais (asmuo, baigęs AI programą) = 24,52 Eur [ESFA fiksuotasis vieneto įkainis] x (1+0,4) [kitos išlaidos] x 8 val. [programos trukmė] x 3 [koeficientas dėl grupinės veiklos] / 8 [vidutinis grupės dydis] / 0,8 [baigusiųjų dalis nuo dalyvių] / 10 [balo vertė] = 12,9 balo</t>
  </si>
  <si>
    <t>Skaičiuojant vertinimo rodiklio vieneto vertę balais, atsižvelgiant į intervencijos turinį ir reikalaujamą specialisto kvalifikaciją, naudotas ESFA apskaičiuotas kompleksinių paslaugų šeimai fiksuotasis įkainis [2], kuris 2024.08.01 tyrimo duomenimis, yra 16,46 Eur,
Konsultacijos trukmė - 1 val.
Kitų išlaidų fiksuotoji norma pagal ESFA metodiką ir ES reglamentą [4] - 40%
Balo vertė - 10 Eur
Rodiklio vieneto vertė balais (priklausomybės konsultantų paslauga) = 16,46 [ESFA fiksuotasis vieneto įkainis] x (1+0,4) [kitos išlaidos] / 10 [balo vertė] = 2,3 balo</t>
  </si>
  <si>
    <t>Skaičiuojant vertinimo rodiklio vieneto vertę balais, atsižvelgiant į intervencijos turinį ir reikalaujamą specialisto kvalifikaciją, naudotas ESFA apskaičiuotas sveikatos priežiūros specialistų kvalifikacijos tobulinimo veiklų įkainis [3], kuris, 2024 m. birželio mėn. duomenimis, yra 8,06 Eur/asm./val.
Bazinių savižudybių prevencijos mokymų vidutinė trukmė - 4 val.
Rodiklio vieneto vertė balais (asmuo, baigęs bazinius savižudybių prevencijos mokymus) = 8,06 [ESFA fiksuotasis vieneto įkainis] * 4 val. [mokymų trukmė] / 10 [balo vertė] = 3,2 balo
Savižudybės grėsmės intervencijos mokymų vidutinė trukmė - 12 val.
Rodiklio vieneto vertė balais (asmuo, baigęs savižudybės grėsmės intervencijos mokymus) = 8,06 [ESFA fiksuotasis vieneto įkainis] * 12 val. [mokymų trukmė] / 10 [balo vertė] = 9,6 balo</t>
  </si>
  <si>
    <t>Skaičiuojant vertinimo rodiklio vieneto vertę balais, atsižvelgiant į intervencijos turinį ir reikalaujamą specialisto kvalifikaciją, naudotas ESFA apskaičiuotas psichologo (psichoterapeuto) vienos valandos darbo užmokesčio išlaidų fiksuotasis vieneto įkainis [1], kuris 2024.07.01 tyrimo duomenimis, yra 24,52 Eur.
Paslaugos trukmė - individuali 1 val., grupinė pagal rodiklio apskaičiavimo techninę kortelę
Kitų išlaidų fiksuotoji norma pagal ESFA metodiką ir ES reglamentą [4] - 40%
Balo vertė - 10 Eur
Rodiklio vieneto vertė balais (Psichologinės gerovės ir psichikos sveikatos stiprinimo paslauga) = 24,52 Eur [ESFA fiksuotasis vieneto įkainis] x (1+0,4) [kitos išlaidos] / 10 [balo vertė] = 3,4 balo</t>
  </si>
  <si>
    <t>Skaičiuojant vertinimo rodiklio vieneto vertę balais, atsižvelgiant į intervencijos turinį ir reikalaujamą specialisto kvalifikaciją, naudotas ESFA apskaičiuotas psichologo (psichoterapeuto) vienos valandos darbo užmokesčio išlaidų fiksuotasis vieneto įkainis [1], kuris 2024.07.01 tyrimo duomenimis, yra 24,52 Eur.
Programos trukmė - 32 val.
Vidutinis dalyvių skaičius grupėje - 10 asmenų
Koeficientas dėl grupinės veiklos organizavimo (pagal Psichologinės gerovės ir psichikos sveikatos stiprinimo grupinių paslaugų rodiklių skaičiavimo techninėje kortelėje nustatytą tvarką) - 3
Kitų išlaidų fiksuotoji norma pagal ESFA metodiką ir ES reglamentą [4] - 40%
Balo vertė - 10 eurų
Rodiklio vieneto vertė balais (Mokyklų darbuotojų kompetencijų didinimo mokymų dalyvis) = 24,52 Eur [ESFA fiksuotasis vieneto įkainis] x (1+0,4) [kitos išlaidos] * 32 val. [programos trukmė] * 3 [grupinės veiklos koeficientas] / 10 [dalyvių skaičius grupėje] / 10 [balo vertė] = 33 balai</t>
  </si>
  <si>
    <t>Daromos prielaidos: pagal rengiamą Metimo rūkyti pagalbos aprašo projektą, išplėstinės pagalbos ciklą sudaro iki 6 individualių ir grupinių konsultacijų po 1 val. (vidutiniškai 6 konsultacijos), į kurias įskaitomi motyvavimas, metimo rūkyti plano sudarymas ir kt. veiksmai. Vienos konsultacijos kaina 40 Eur, stebėjimas po ciklo 10 Eur. 6 konsultacijų ciklas ir stebėjimas 40*6 + 10 = 250 Eur. Didesnis nei kitose paslaugose konsultacijos įkainis nustatomas norint paskatinti biurus teikti šią paslaugą ir atsižvelgiant į tai, kad į ciklą įeina ir papildomi veiksmai (motyvavimas, plano sudarymas, stebėsena po plano pabaigos).</t>
  </si>
  <si>
    <t>Skaičiuojant vertinimo rodiklio vieneto vertę balais, nustatomas visuomenės sveikatos specialisto darbo užmokesčio etatinis dydis pagal 2013-10-11 SAM įsakymą Nr. V-932 nustatytą tvarką.
2024 m. bazinis dydis - 1785,4 Eur
A lygio biudžetinės įstaigos specialisto pareigybės minimalus pareiginės algos koeficientas - 0,67
V-932 nustatytas koeficientas - 1,78
Vidutinis kitų išlaidų fondo koeficientas pagal V-932 - 0,25
Darbdavio valstybinio socialinio draudimo įmoka - 0,0147
Etatiniu krūviu suteikiamų paslaugų apimtis - pagal 2023 m. pilotinio projekto patirtį, specialisto etatas per metus teikia paslaugas ~180 unikalių asmenų
Balo vertė - 10 Eur
Rodiklio vieneto vertė balais (Asmuo, gavęs socialinio recepto paslaugas) = 1785,4 [bazinis dydis] x 0,67 [minimalus PA koef.] x 1,78 [V-932 koef.] x 12 [mėnesių] x (1+0,25+0,0147) [kitos išlaidos ir VSDĮ] / 180 [klientų per metus] / 10 [balo vertė] = 18 balų</t>
  </si>
  <si>
    <r>
      <rPr>
        <b/>
        <sz val="10"/>
        <color theme="1"/>
        <rFont val="Calibri"/>
        <family val="2"/>
        <charset val="186"/>
        <scheme val="minor"/>
      </rPr>
      <t>Rekomenduojamas ir minimalus krūvis</t>
    </r>
    <r>
      <rPr>
        <b/>
        <u/>
        <sz val="10"/>
        <color theme="1"/>
        <rFont val="Calibri"/>
        <family val="2"/>
        <charset val="186"/>
        <scheme val="minor"/>
      </rPr>
      <t xml:space="preserve"> jei</t>
    </r>
    <r>
      <rPr>
        <b/>
        <sz val="10"/>
        <color theme="1"/>
        <rFont val="Calibri"/>
        <family val="2"/>
        <charset val="186"/>
        <scheme val="minor"/>
      </rPr>
      <t xml:space="preserve"> renkamasi vykdyti šią veiklą:
</t>
    </r>
    <r>
      <rPr>
        <sz val="10"/>
        <color theme="1"/>
        <rFont val="Calibri"/>
        <family val="2"/>
        <scheme val="minor"/>
      </rPr>
      <t xml:space="preserve">Rekomenduojama krūvio norma:
&lt;100 tūkst. gyv. savivaldybės 
1 etatas = 16 tūkst. senjorų
100-199 tūkst. gyv. savivaldybės
1 etatas = 25 tūkst. senjorų
&gt;200 tūkst. gyv. savivaldybės
1 etatas = 40 tūkst. senjorų
</t>
    </r>
    <r>
      <rPr>
        <u/>
        <sz val="10"/>
        <color theme="1"/>
        <rFont val="Calibri"/>
        <family val="2"/>
        <charset val="186"/>
        <scheme val="minor"/>
      </rPr>
      <t>VISAIS atvejais ne mažiau kaip 0,4 etato</t>
    </r>
    <r>
      <rPr>
        <b/>
        <sz val="10"/>
        <color theme="1"/>
        <rFont val="Calibri"/>
        <family val="2"/>
        <charset val="186"/>
        <scheme val="minor"/>
      </rPr>
      <t xml:space="preserve"> </t>
    </r>
    <r>
      <rPr>
        <sz val="10"/>
        <color theme="1"/>
        <rFont val="Calibri"/>
        <family val="2"/>
        <scheme val="minor"/>
      </rPr>
      <t xml:space="preserve">
</t>
    </r>
    <r>
      <rPr>
        <u/>
        <sz val="10"/>
        <color theme="1"/>
        <rFont val="Calibri"/>
        <family val="2"/>
        <charset val="186"/>
        <scheme val="minor"/>
      </rPr>
      <t>1 etatas atitinka 180 dalyvių</t>
    </r>
  </si>
  <si>
    <t>Skaičiuojant vertinimo rodiklio vieneto vertę balais, nustatomas visuomenės sveikatos specialisto darbo užmokesčio etatinis dydis pagal 2013-10-11 SAM įsakymą Nr. V-932 nustatytą tvarką.
2024 m. bazinis dydis - 1785,4 Eur
A lygio biudžetinės įstaigos specialisto pareigybės minimalus pareiginės algos koeficientas - 0,67
V-932 nustatytas koeficientas - 1,78
Vidutinis kitų išlaidų fondo koeficientas pagal V-932 - 0,25
Darbdavio valstybinio socialinio draudimo įmoka - 0,0147
Darbo valandų skaičius 1 etato krūviu per metus - 2000 val.
Balo vertė - 10 Eur
Rodiklio vieneto vertė balais (savižudybių prevencijos koordinatoriaus darbo valanda) = 1785,4 [bazinis dydis] x 0,67 [minimalus PA koef.] x 1,78 [V-932 koef.] x 12 [mėnesių] x (1+0,25+0,0147) [kitos išlaidos ir VSDĮ] /2000 [val. per metus] / 10 [balo vertė] = 1,6 balo</t>
  </si>
  <si>
    <r>
      <rPr>
        <b/>
        <sz val="10"/>
        <color theme="1"/>
        <rFont val="Calibri"/>
        <family val="2"/>
        <charset val="186"/>
        <scheme val="minor"/>
      </rPr>
      <t xml:space="preserve">Rekomenduojamas ir minimalus krūvis </t>
    </r>
    <r>
      <rPr>
        <b/>
        <u/>
        <sz val="10"/>
        <color theme="1"/>
        <rFont val="Calibri"/>
        <family val="2"/>
        <charset val="186"/>
        <scheme val="minor"/>
      </rPr>
      <t>jei</t>
    </r>
    <r>
      <rPr>
        <b/>
        <sz val="10"/>
        <color theme="1"/>
        <rFont val="Calibri"/>
        <family val="2"/>
        <charset val="186"/>
        <scheme val="minor"/>
      </rPr>
      <t xml:space="preserve"> renkamasi vykdyti šią veiklą:</t>
    </r>
    <r>
      <rPr>
        <sz val="10"/>
        <color theme="1"/>
        <rFont val="Calibri"/>
        <family val="2"/>
        <scheme val="minor"/>
      </rPr>
      <t xml:space="preserve">
Rekomenduojama krūvio norma:
&lt;100 tūkst. gyv. savivaldybės
1 etatas = 70 tūkst. gyventojų 
100-199 tūkst. gyv. savivaldybės
1 etatas = 115 tūkst. gyventojų
&gt;200 tūkst. gyv. savivaldybės
1 etatas = 180 tūkst. gyventojų
</t>
    </r>
    <r>
      <rPr>
        <u/>
        <sz val="10"/>
        <color theme="1"/>
        <rFont val="Calibri"/>
        <family val="2"/>
        <charset val="186"/>
        <scheme val="minor"/>
      </rPr>
      <t xml:space="preserve">VISAIS ATVEJAIS ne mažiau kaip 0,4 etato </t>
    </r>
    <r>
      <rPr>
        <sz val="10"/>
        <color theme="1"/>
        <rFont val="Calibri"/>
        <family val="2"/>
        <scheme val="minor"/>
      </rPr>
      <t xml:space="preserve">
</t>
    </r>
    <r>
      <rPr>
        <u/>
        <sz val="10"/>
        <color theme="1"/>
        <rFont val="Calibri"/>
        <family val="2"/>
        <charset val="186"/>
        <scheme val="minor"/>
      </rPr>
      <t>1 etatas atitinka 2000 val.</t>
    </r>
  </si>
  <si>
    <t>[1] Psichologo (psichoterapeuto) vienos valandos darbo užmokesčio išlaidų fiksuotasis vieneto įkainis</t>
  </si>
  <si>
    <t>FĮ-24-01 – FĮ-24-03. Psichologo (psichoterapeuto) / socialinio darbuotojo / individualios priežiūros personalo (užimtumo specialisto) darbo užmokesčio fiksuotųjų vieneto įkainių nustatymo tyrimas |2021-2027 ES investicijų interneto svetainė (esinvesticijos.lt)</t>
  </si>
  <si>
    <t>[2] Kompleksinių paslaugų šeimai fiksuotasis vieneto įkainis</t>
  </si>
  <si>
    <t>FĮ-33-01-FĮ-33-02. Kompleksinių paslaugų šeimai fiksuotųjų vieneto įkainių nustatymo tyrimas |2021-2027 ES investicijų interneto svetainė (esinvesticijos.lt)</t>
  </si>
  <si>
    <t>[3] Kvalifikacijos tobulinimo veiklų sveikatos priežiūros specialistams fiksuotas dydis</t>
  </si>
  <si>
    <t>SAM informacija, ESFA dar nepaskelbta</t>
  </si>
  <si>
    <t>[4] Kitų išlaidų fiksuotoji norma Reglamento (EU) 2021/1060 56 str. 1 dalis</t>
  </si>
  <si>
    <t>Regulation - 2021/1060 - EN - EUR-Lex (europa.eu)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</si>
</sst>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indexed="81"/>
      <name val="Tahoma"/>
      <family val="2"/>
      <charset val="186"/>
    </font>
    <font>
      <sz val="10"/>
      <color theme="1"/>
      <name val="Calibri"/>
      <family val="2"/>
      <scheme val="minor"/>
    </font>
    <font>
      <i/>
      <sz val="11"/>
      <color theme="1"/>
      <name val="Calibri"/>
      <family val="2"/>
      <charset val="186"/>
      <scheme val="minor"/>
    </font>
    <font>
      <sz val="11"/>
      <color theme="1"/>
      <name val="Calibri"/>
      <family val="2"/>
      <scheme val="minor"/>
    </font>
    <font>
      <sz val="10"/>
      <color theme="1"/>
      <name val="Times New Roman"/>
      <family val="1"/>
      <charset val="186"/>
    </font>
    <font>
      <sz val="10"/>
      <color rgb="FF333333"/>
      <name val="Times New Roman"/>
      <family val="1"/>
      <charset val="186"/>
    </font>
    <font>
      <b/>
      <sz val="10"/>
      <color theme="1"/>
      <name val="Times New Roman"/>
      <family val="1"/>
      <charset val="186"/>
    </font>
    <font>
      <b/>
      <sz val="10"/>
      <color theme="1"/>
      <name val="Calibri"/>
      <family val="2"/>
      <charset val="186"/>
      <scheme val="minor"/>
    </font>
    <font>
      <sz val="10"/>
      <color theme="1"/>
      <name val="Calibri"/>
      <family val="2"/>
      <charset val="186"/>
      <scheme val="minor"/>
    </font>
    <font>
      <sz val="10"/>
      <color theme="0"/>
      <name val="Times New Roman"/>
      <family val="1"/>
      <charset val="186"/>
    </font>
    <font>
      <b/>
      <sz val="11"/>
      <color theme="1"/>
      <name val="Times New Roman"/>
      <family val="1"/>
      <charset val="186"/>
    </font>
    <font>
      <b/>
      <sz val="12"/>
      <color theme="1"/>
      <name val="Calibri"/>
      <family val="2"/>
      <scheme val="minor"/>
    </font>
    <font>
      <sz val="12"/>
      <color theme="1"/>
      <name val="Calibri"/>
      <family val="2"/>
      <scheme val="minor"/>
    </font>
    <font>
      <b/>
      <sz val="12"/>
      <color theme="1"/>
      <name val="Calibri"/>
      <family val="2"/>
      <charset val="186"/>
      <scheme val="minor"/>
    </font>
    <font>
      <u/>
      <sz val="11"/>
      <color theme="10"/>
      <name val="Calibri"/>
      <family val="2"/>
      <scheme val="minor"/>
    </font>
    <font>
      <u/>
      <sz val="10"/>
      <color theme="1"/>
      <name val="Calibri"/>
      <family val="2"/>
      <charset val="186"/>
      <scheme val="minor"/>
    </font>
    <font>
      <b/>
      <sz val="10"/>
      <color theme="8" tint="-0.249977111117893"/>
      <name val="Times New Roman"/>
      <family val="1"/>
      <charset val="186"/>
    </font>
    <font>
      <b/>
      <u/>
      <sz val="10"/>
      <color theme="1"/>
      <name val="Calibri"/>
      <family val="2"/>
      <charset val="186"/>
      <scheme val="minor"/>
    </font>
    <font>
      <u/>
      <sz val="11"/>
      <color theme="10"/>
      <name val="Calibri"/>
      <family val="2"/>
      <charset val="186"/>
      <scheme val="minor"/>
    </font>
    <font>
      <sz val="11"/>
      <color rgb="FF3F3F76"/>
      <name val="Calibri"/>
      <family val="2"/>
      <scheme val="minor"/>
    </font>
    <font>
      <sz val="10"/>
      <name val="Times New Roman"/>
      <family val="1"/>
      <charset val="186"/>
    </font>
    <font>
      <sz val="11"/>
      <color theme="0"/>
      <name val="Times New Roman"/>
      <family val="1"/>
      <charset val="186"/>
    </font>
    <font>
      <sz val="11"/>
      <name val="Calibri"/>
      <family val="2"/>
      <charset val="186"/>
      <scheme val="minor"/>
    </font>
    <font>
      <b/>
      <sz val="10"/>
      <color rgb="FFFF0000"/>
      <name val="Times New Roman"/>
      <family val="1"/>
      <charset val="186"/>
    </font>
    <font>
      <sz val="10"/>
      <name val="Calibri"/>
      <family val="2"/>
      <charset val="186"/>
      <scheme val="minor"/>
    </font>
    <font>
      <sz val="10"/>
      <name val="Calibri"/>
      <family val="2"/>
      <scheme val="minor"/>
    </font>
    <font>
      <b/>
      <sz val="11"/>
      <name val="Calibri"/>
      <family val="2"/>
      <charset val="186"/>
      <scheme val="minor"/>
    </font>
    <font>
      <sz val="11"/>
      <name val="Calibri"/>
      <family val="2"/>
      <scheme val="minor"/>
    </font>
    <font>
      <i/>
      <sz val="11"/>
      <name val="Calibri"/>
      <family val="2"/>
      <charset val="186"/>
      <scheme val="minor"/>
    </font>
    <font>
      <b/>
      <sz val="10"/>
      <name val="Times New Roman"/>
      <family val="1"/>
      <charset val="186"/>
    </font>
    <font>
      <b/>
      <sz val="11"/>
      <name val="Times New Roman"/>
      <family val="1"/>
      <charset val="186"/>
    </font>
    <font>
      <sz val="11"/>
      <name val="Times New Roman"/>
      <family val="1"/>
      <charset val="186"/>
    </font>
    <font>
      <i/>
      <sz val="12"/>
      <color theme="1"/>
      <name val="Calibri"/>
      <family val="2"/>
      <charset val="186"/>
      <scheme val="minor"/>
    </font>
    <font>
      <i/>
      <sz val="14"/>
      <color theme="1"/>
      <name val="Calibri"/>
      <family val="2"/>
      <charset val="186"/>
      <scheme val="minor"/>
    </font>
    <font>
      <u/>
      <sz val="11"/>
      <color theme="1"/>
      <name val="Calibri"/>
      <family val="2"/>
      <charset val="186"/>
      <scheme val="minor"/>
    </font>
    <font>
      <i/>
      <sz val="10"/>
      <color theme="1"/>
      <name val="Calibri"/>
      <family val="2"/>
      <charset val="186"/>
      <scheme val="minor"/>
    </font>
    <font>
      <sz val="12"/>
      <color rgb="FFFF0000"/>
      <name val="Calibri"/>
      <family val="2"/>
      <charset val="186"/>
      <scheme val="minor"/>
    </font>
    <font>
      <sz val="10"/>
      <color rgb="FFFF0000"/>
      <name val="Calibri"/>
      <family val="2"/>
      <charset val="186"/>
      <scheme val="minor"/>
    </font>
    <font>
      <sz val="10"/>
      <color rgb="FF000000"/>
      <name val="Times New Roman"/>
      <family val="1"/>
      <charset val="186"/>
    </font>
    <font>
      <sz val="10"/>
      <color theme="1"/>
      <name val="Times New Roman"/>
    </font>
    <font>
      <sz val="10"/>
      <color rgb="FFFF0000"/>
      <name val="Times New Roman"/>
      <family val="1"/>
      <charset val="186"/>
    </font>
    <font>
      <b/>
      <sz val="11"/>
      <color rgb="FFFF0000"/>
      <name val="Times New Roman"/>
      <family val="1"/>
      <charset val="186"/>
    </font>
    <font>
      <b/>
      <sz val="11"/>
      <color rgb="FFFF0000"/>
      <name val="Calibri"/>
      <family val="2"/>
      <charset val="186"/>
      <scheme val="minor"/>
    </font>
    <font>
      <sz val="11"/>
      <color theme="1"/>
      <name val="Times New Roman"/>
      <family val="1"/>
      <charset val="186"/>
    </font>
    <font>
      <sz val="10"/>
      <color theme="1" tint="0.499984740745262"/>
      <name val="Times New Roman"/>
      <family val="1"/>
      <charset val="186"/>
    </font>
    <font>
      <sz val="10"/>
      <color rgb="FF1C1C1C"/>
      <name val="Times New Roman"/>
      <family val="1"/>
      <charset val="186"/>
    </font>
  </fonts>
  <fills count="13">
    <fill>
      <patternFill patternType="none"/>
    </fill>
    <fill>
      <patternFill patternType="gray125"/>
    </fill>
    <fill>
      <patternFill patternType="solid">
        <fgColor theme="3" tint="0.79998168889431442"/>
        <bgColor indexed="64"/>
      </patternFill>
    </fill>
    <fill>
      <patternFill patternType="solid">
        <fgColor rgb="FFE7E5E5"/>
      </patternFill>
    </fill>
    <fill>
      <patternFill patternType="solid">
        <fgColor rgb="FFFFFFFF"/>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CC99"/>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s>
  <borders count="5">
    <border>
      <left/>
      <right/>
      <top/>
      <bottom/>
      <diagonal/>
    </border>
    <border>
      <left style="thin">
        <color rgb="FFE3E3E3"/>
      </left>
      <right style="thin">
        <color rgb="FFE3E3E3"/>
      </right>
      <top style="thin">
        <color rgb="FFE3E3E3"/>
      </top>
      <bottom style="thin">
        <color rgb="FFE3E3E3"/>
      </bottom>
      <diagonal/>
    </border>
    <border>
      <left style="thin">
        <color rgb="FF7F7F7F"/>
      </left>
      <right style="thin">
        <color rgb="FF7F7F7F"/>
      </right>
      <top style="thin">
        <color rgb="FF7F7F7F"/>
      </top>
      <bottom style="thin">
        <color rgb="FF7F7F7F"/>
      </bottom>
      <diagonal/>
    </border>
    <border>
      <left style="thin">
        <color rgb="FFE3E3E3"/>
      </left>
      <right style="thin">
        <color rgb="FFE3E3E3"/>
      </right>
      <top style="thin">
        <color rgb="FFE3E3E3"/>
      </top>
      <bottom/>
      <diagonal/>
    </border>
    <border>
      <left style="thin">
        <color rgb="FFE3E3E3"/>
      </left>
      <right style="thin">
        <color rgb="FFE3E3E3"/>
      </right>
      <top/>
      <bottom style="thin">
        <color rgb="FFE3E3E3"/>
      </bottom>
      <diagonal/>
    </border>
  </borders>
  <cellStyleXfs count="6">
    <xf numFmtId="0" fontId="0" fillId="0" borderId="0"/>
    <xf numFmtId="9" fontId="8" fillId="0" borderId="0" applyFont="0" applyFill="0" applyBorder="0" applyAlignment="0" applyProtection="0"/>
    <xf numFmtId="0" fontId="19" fillId="0" borderId="0" applyNumberFormat="0" applyFill="0" applyBorder="0" applyAlignment="0" applyProtection="0"/>
    <xf numFmtId="0" fontId="2" fillId="0" borderId="0"/>
    <xf numFmtId="0" fontId="23" fillId="0" borderId="0" applyNumberFormat="0" applyFill="0" applyBorder="0" applyAlignment="0" applyProtection="0"/>
    <xf numFmtId="0" fontId="24" fillId="8" borderId="2" applyNumberFormat="0" applyAlignment="0" applyProtection="0"/>
  </cellStyleXfs>
  <cellXfs count="182">
    <xf numFmtId="0" fontId="0" fillId="0" borderId="0" xfId="0"/>
    <xf numFmtId="0" fontId="0" fillId="0" borderId="0" xfId="0" applyAlignment="1">
      <alignment wrapText="1"/>
    </xf>
    <xf numFmtId="1" fontId="6" fillId="0" borderId="0" xfId="0" applyNumberFormat="1" applyFont="1"/>
    <xf numFmtId="0" fontId="7" fillId="0" borderId="0" xfId="0" applyFont="1" applyAlignment="1">
      <alignment wrapText="1"/>
    </xf>
    <xf numFmtId="0" fontId="4" fillId="0" borderId="0" xfId="0" applyFont="1" applyAlignment="1">
      <alignment wrapText="1"/>
    </xf>
    <xf numFmtId="0" fontId="9" fillId="0" borderId="0" xfId="0" applyFont="1"/>
    <xf numFmtId="0" fontId="9" fillId="0" borderId="0" xfId="0" applyFont="1" applyAlignment="1">
      <alignment horizontal="center" wrapText="1"/>
    </xf>
    <xf numFmtId="0" fontId="6" fillId="0" borderId="0" xfId="0" applyFont="1" applyAlignment="1">
      <alignment wrapText="1"/>
    </xf>
    <xf numFmtId="0" fontId="6" fillId="0" borderId="0" xfId="0" applyFont="1"/>
    <xf numFmtId="0" fontId="10" fillId="3" borderId="0" xfId="0" applyFont="1" applyFill="1" applyAlignment="1">
      <alignment horizontal="left" vertical="top"/>
    </xf>
    <xf numFmtId="1" fontId="0" fillId="0" borderId="0" xfId="0" applyNumberFormat="1" applyAlignment="1">
      <alignment wrapText="1"/>
    </xf>
    <xf numFmtId="1" fontId="9" fillId="0" borderId="0" xfId="0" applyNumberFormat="1" applyFont="1" applyAlignment="1">
      <alignment horizontal="center" wrapText="1"/>
    </xf>
    <xf numFmtId="1" fontId="6" fillId="0" borderId="0" xfId="0" applyNumberFormat="1" applyFont="1" applyAlignment="1">
      <alignment wrapText="1"/>
    </xf>
    <xf numFmtId="1" fontId="0" fillId="0" borderId="0" xfId="0" applyNumberFormat="1"/>
    <xf numFmtId="1" fontId="4" fillId="0" borderId="0" xfId="0" applyNumberFormat="1" applyFont="1"/>
    <xf numFmtId="1" fontId="11" fillId="0" borderId="0" xfId="0" applyNumberFormat="1" applyFont="1" applyAlignment="1">
      <alignment horizontal="center" wrapText="1"/>
    </xf>
    <xf numFmtId="9" fontId="3" fillId="0" borderId="0" xfId="1" applyFont="1" applyFill="1"/>
    <xf numFmtId="9" fontId="9" fillId="0" borderId="0" xfId="1" applyFont="1" applyFill="1" applyAlignment="1">
      <alignment horizontal="center" wrapText="1"/>
    </xf>
    <xf numFmtId="9" fontId="9" fillId="0" borderId="0" xfId="1" applyFont="1" applyFill="1"/>
    <xf numFmtId="9" fontId="13" fillId="0" borderId="0" xfId="1" applyFont="1" applyFill="1"/>
    <xf numFmtId="1" fontId="11" fillId="0" borderId="0" xfId="0" applyNumberFormat="1" applyFont="1" applyAlignment="1">
      <alignment wrapText="1"/>
    </xf>
    <xf numFmtId="3" fontId="9" fillId="0" borderId="0" xfId="0" applyNumberFormat="1" applyFont="1"/>
    <xf numFmtId="0" fontId="4" fillId="0" borderId="0" xfId="0" applyFont="1"/>
    <xf numFmtId="1" fontId="4" fillId="0" borderId="0" xfId="0" applyNumberFormat="1" applyFont="1" applyAlignment="1">
      <alignment wrapText="1"/>
    </xf>
    <xf numFmtId="1" fontId="0" fillId="0" borderId="0" xfId="0" applyNumberFormat="1" applyAlignment="1">
      <alignment horizontal="center"/>
    </xf>
    <xf numFmtId="0" fontId="7" fillId="0" borderId="0" xfId="0" applyFont="1"/>
    <xf numFmtId="1" fontId="7" fillId="0" borderId="0" xfId="0" applyNumberFormat="1" applyFont="1" applyAlignment="1">
      <alignment wrapText="1"/>
    </xf>
    <xf numFmtId="1" fontId="7" fillId="0" borderId="0" xfId="0" applyNumberFormat="1" applyFont="1"/>
    <xf numFmtId="0" fontId="15" fillId="0" borderId="0" xfId="0" applyFont="1"/>
    <xf numFmtId="0" fontId="15" fillId="0" borderId="0" xfId="0" applyFont="1" applyAlignment="1">
      <alignment wrapText="1"/>
    </xf>
    <xf numFmtId="3" fontId="15" fillId="0" borderId="0" xfId="0" applyNumberFormat="1" applyFont="1"/>
    <xf numFmtId="1" fontId="15" fillId="0" borderId="0" xfId="0" applyNumberFormat="1" applyFont="1"/>
    <xf numFmtId="0" fontId="0" fillId="0" borderId="0" xfId="0" applyAlignment="1">
      <alignment horizontal="center" wrapText="1"/>
    </xf>
    <xf numFmtId="0" fontId="6" fillId="0" borderId="0" xfId="0" applyFont="1" applyAlignment="1">
      <alignment horizontal="left" vertical="top" wrapText="1"/>
    </xf>
    <xf numFmtId="0" fontId="4" fillId="0" borderId="0" xfId="0" applyFont="1" applyAlignment="1">
      <alignment horizontal="center" wrapText="1"/>
    </xf>
    <xf numFmtId="0" fontId="13" fillId="0" borderId="0" xfId="0"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xf>
    <xf numFmtId="0" fontId="13" fillId="0" borderId="0" xfId="0" applyFont="1" applyAlignment="1">
      <alignment horizontal="left" vertical="top" wrapText="1"/>
    </xf>
    <xf numFmtId="9" fontId="26" fillId="0" borderId="0" xfId="1" applyFont="1" applyFill="1"/>
    <xf numFmtId="0" fontId="11" fillId="0" borderId="0" xfId="0" applyFont="1" applyAlignment="1">
      <alignment horizontal="left" wrapText="1"/>
    </xf>
    <xf numFmtId="0" fontId="25" fillId="3" borderId="0" xfId="0" applyFont="1" applyFill="1" applyAlignment="1">
      <alignment horizontal="left" vertical="top"/>
    </xf>
    <xf numFmtId="0" fontId="11" fillId="0" borderId="0" xfId="0" applyFont="1" applyAlignment="1">
      <alignment horizontal="left" vertical="center" wrapText="1"/>
    </xf>
    <xf numFmtId="1" fontId="11" fillId="0" borderId="0" xfId="0" applyNumberFormat="1" applyFont="1" applyAlignment="1">
      <alignment horizontal="left" vertical="center" wrapText="1"/>
    </xf>
    <xf numFmtId="9" fontId="9" fillId="0" borderId="0" xfId="1" applyFont="1" applyFill="1" applyAlignment="1">
      <alignment horizontal="left" vertical="center" wrapText="1"/>
    </xf>
    <xf numFmtId="0" fontId="11" fillId="0" borderId="0" xfId="0" applyFont="1" applyAlignment="1">
      <alignment horizontal="left" vertical="center"/>
    </xf>
    <xf numFmtId="1" fontId="11" fillId="0" borderId="0" xfId="0" applyNumberFormat="1" applyFont="1" applyAlignment="1">
      <alignment horizontal="left" vertical="center"/>
    </xf>
    <xf numFmtId="0" fontId="21" fillId="0" borderId="0" xfId="2" applyFont="1" applyAlignment="1">
      <alignment horizontal="left" vertical="center" wrapText="1"/>
    </xf>
    <xf numFmtId="0" fontId="9" fillId="0" borderId="0" xfId="0" applyFont="1" applyAlignment="1">
      <alignment horizontal="right"/>
    </xf>
    <xf numFmtId="1" fontId="28" fillId="0" borderId="0" xfId="0" applyNumberFormat="1" applyFont="1" applyAlignment="1">
      <alignment horizontal="center" wrapText="1"/>
    </xf>
    <xf numFmtId="0" fontId="28" fillId="0" borderId="0" xfId="0" applyFont="1" applyAlignment="1">
      <alignment horizontal="center" wrapText="1"/>
    </xf>
    <xf numFmtId="0" fontId="14" fillId="0" borderId="0" xfId="1" applyNumberFormat="1" applyFont="1" applyFill="1"/>
    <xf numFmtId="0" fontId="11" fillId="0" borderId="0" xfId="0" applyFont="1" applyAlignment="1">
      <alignment wrapText="1"/>
    </xf>
    <xf numFmtId="0" fontId="11" fillId="0" borderId="0" xfId="0" applyFont="1"/>
    <xf numFmtId="1" fontId="11" fillId="0" borderId="0" xfId="0" applyNumberFormat="1" applyFont="1"/>
    <xf numFmtId="0" fontId="16" fillId="0" borderId="0" xfId="0" applyFont="1" applyAlignment="1">
      <alignment horizontal="center" vertical="center" wrapText="1"/>
    </xf>
    <xf numFmtId="0" fontId="18" fillId="0" borderId="0" xfId="0" applyFont="1" applyAlignment="1">
      <alignment horizontal="center" vertical="center"/>
    </xf>
    <xf numFmtId="0" fontId="19" fillId="0" borderId="0" xfId="2"/>
    <xf numFmtId="0" fontId="29" fillId="0" borderId="0" xfId="0" applyFont="1" applyAlignment="1">
      <alignment horizontal="left" vertical="top" wrapText="1"/>
    </xf>
    <xf numFmtId="0" fontId="30" fillId="0" borderId="0" xfId="0" applyFont="1" applyAlignment="1">
      <alignment horizontal="left" vertical="top" wrapText="1"/>
    </xf>
    <xf numFmtId="1" fontId="9" fillId="0" borderId="0" xfId="0" applyNumberFormat="1" applyFont="1"/>
    <xf numFmtId="0" fontId="9" fillId="0" borderId="0" xfId="0" applyFont="1" applyAlignment="1">
      <alignment horizontal="right" vertical="center" wrapText="1"/>
    </xf>
    <xf numFmtId="0" fontId="9" fillId="0" borderId="0" xfId="0" applyFont="1" applyAlignment="1">
      <alignment horizontal="right" vertical="center"/>
    </xf>
    <xf numFmtId="1" fontId="31" fillId="0" borderId="0" xfId="0" applyNumberFormat="1" applyFont="1" applyAlignment="1">
      <alignment wrapText="1"/>
    </xf>
    <xf numFmtId="1" fontId="27" fillId="0" borderId="0" xfId="1" applyNumberFormat="1" applyFont="1" applyFill="1" applyAlignment="1">
      <alignment wrapText="1"/>
    </xf>
    <xf numFmtId="1" fontId="32" fillId="0" borderId="0" xfId="0" applyNumberFormat="1" applyFont="1" applyAlignment="1">
      <alignment wrapText="1"/>
    </xf>
    <xf numFmtId="1" fontId="27" fillId="0" borderId="0" xfId="1" applyNumberFormat="1" applyFont="1" applyFill="1"/>
    <xf numFmtId="1" fontId="32" fillId="0" borderId="0" xfId="0" applyNumberFormat="1" applyFont="1" applyAlignment="1">
      <alignment horizontal="center"/>
    </xf>
    <xf numFmtId="1" fontId="27" fillId="0" borderId="0" xfId="1" applyNumberFormat="1" applyFont="1" applyFill="1" applyAlignment="1">
      <alignment horizontal="center"/>
    </xf>
    <xf numFmtId="1" fontId="32" fillId="0" borderId="0" xfId="0" applyNumberFormat="1" applyFont="1"/>
    <xf numFmtId="1" fontId="33" fillId="0" borderId="0" xfId="0" applyNumberFormat="1" applyFont="1" applyAlignment="1">
      <alignment wrapText="1"/>
    </xf>
    <xf numFmtId="1" fontId="33" fillId="0" borderId="0" xfId="1" applyNumberFormat="1" applyFont="1" applyFill="1"/>
    <xf numFmtId="1" fontId="33" fillId="0" borderId="0" xfId="0" applyNumberFormat="1" applyFont="1"/>
    <xf numFmtId="1" fontId="31" fillId="0" borderId="0" xfId="0" applyNumberFormat="1" applyFont="1"/>
    <xf numFmtId="1" fontId="27" fillId="0" borderId="0" xfId="0" applyNumberFormat="1" applyFont="1"/>
    <xf numFmtId="1" fontId="34" fillId="0" borderId="0" xfId="0" applyNumberFormat="1" applyFont="1" applyAlignment="1">
      <alignment horizontal="center" wrapText="1"/>
    </xf>
    <xf numFmtId="1" fontId="25" fillId="0" borderId="0" xfId="0" applyNumberFormat="1" applyFont="1" applyAlignment="1">
      <alignment horizontal="center" wrapText="1"/>
    </xf>
    <xf numFmtId="0" fontId="34" fillId="0" borderId="0" xfId="0" applyFont="1" applyAlignment="1">
      <alignment horizontal="center" wrapText="1"/>
    </xf>
    <xf numFmtId="0" fontId="25" fillId="0" borderId="0" xfId="0" applyFont="1" applyAlignment="1">
      <alignment horizontal="center" wrapText="1"/>
    </xf>
    <xf numFmtId="1" fontId="34" fillId="0" borderId="0" xfId="0" applyNumberFormat="1" applyFont="1" applyAlignment="1">
      <alignment horizontal="left" vertical="center" wrapText="1"/>
    </xf>
    <xf numFmtId="1" fontId="25" fillId="0" borderId="0" xfId="0" applyNumberFormat="1" applyFont="1" applyAlignment="1">
      <alignment horizontal="left" vertical="center" wrapText="1"/>
    </xf>
    <xf numFmtId="3" fontId="25" fillId="0" borderId="0" xfId="0" applyNumberFormat="1" applyFont="1"/>
    <xf numFmtId="3" fontId="34" fillId="0" borderId="0" xfId="0" applyNumberFormat="1" applyFont="1"/>
    <xf numFmtId="0" fontId="25" fillId="0" borderId="0" xfId="0" applyFont="1"/>
    <xf numFmtId="0" fontId="34" fillId="0" borderId="0" xfId="0" applyFont="1"/>
    <xf numFmtId="3" fontId="35" fillId="0" borderId="0" xfId="0" applyNumberFormat="1" applyFont="1"/>
    <xf numFmtId="3" fontId="36" fillId="0" borderId="0" xfId="0" applyNumberFormat="1" applyFont="1"/>
    <xf numFmtId="0" fontId="32" fillId="0" borderId="0" xfId="0" applyFont="1" applyAlignment="1">
      <alignment wrapText="1"/>
    </xf>
    <xf numFmtId="0" fontId="30" fillId="0" borderId="0" xfId="0" applyFont="1"/>
    <xf numFmtId="9" fontId="28" fillId="0" borderId="0" xfId="1" applyFont="1" applyFill="1" applyAlignment="1">
      <alignment horizontal="center" wrapText="1"/>
    </xf>
    <xf numFmtId="0" fontId="37" fillId="0" borderId="0" xfId="0" applyFont="1" applyAlignment="1">
      <alignment horizontal="center" vertical="center"/>
    </xf>
    <xf numFmtId="0" fontId="7" fillId="0" borderId="0" xfId="0" applyFont="1" applyAlignment="1">
      <alignment horizontal="left" wrapText="1"/>
    </xf>
    <xf numFmtId="1" fontId="11" fillId="7" borderId="0" xfId="0" applyNumberFormat="1" applyFont="1" applyFill="1" applyAlignment="1">
      <alignment horizontal="center"/>
    </xf>
    <xf numFmtId="0" fontId="19" fillId="0" borderId="0" xfId="2" applyAlignment="1">
      <alignment wrapText="1"/>
    </xf>
    <xf numFmtId="0" fontId="1" fillId="0" borderId="0" xfId="0" applyFont="1" applyAlignment="1">
      <alignment wrapText="1"/>
    </xf>
    <xf numFmtId="1" fontId="12" fillId="0" borderId="0" xfId="0" applyNumberFormat="1" applyFont="1" applyAlignment="1">
      <alignment wrapText="1"/>
    </xf>
    <xf numFmtId="1" fontId="6" fillId="0" borderId="0" xfId="0" applyNumberFormat="1" applyFont="1" applyAlignment="1">
      <alignment horizontal="center"/>
    </xf>
    <xf numFmtId="1" fontId="40" fillId="0" borderId="0" xfId="0" applyNumberFormat="1" applyFont="1" applyAlignment="1">
      <alignment wrapText="1"/>
    </xf>
    <xf numFmtId="1" fontId="12" fillId="0" borderId="0" xfId="0" applyNumberFormat="1" applyFont="1"/>
    <xf numFmtId="3" fontId="11" fillId="0" borderId="0" xfId="0" applyNumberFormat="1" applyFont="1"/>
    <xf numFmtId="9" fontId="4" fillId="0" borderId="0" xfId="0" applyNumberFormat="1" applyFont="1"/>
    <xf numFmtId="9" fontId="7" fillId="0" borderId="0" xfId="0" applyNumberFormat="1" applyFont="1"/>
    <xf numFmtId="9" fontId="11" fillId="7" borderId="0" xfId="0" applyNumberFormat="1" applyFont="1" applyFill="1" applyAlignment="1">
      <alignment horizontal="center"/>
    </xf>
    <xf numFmtId="9" fontId="34" fillId="0" borderId="0" xfId="0" applyNumberFormat="1" applyFont="1" applyAlignment="1">
      <alignment horizontal="left" vertical="center" wrapText="1"/>
    </xf>
    <xf numFmtId="9" fontId="0" fillId="0" borderId="0" xfId="0" applyNumberFormat="1" applyAlignment="1">
      <alignment wrapText="1"/>
    </xf>
    <xf numFmtId="9" fontId="25" fillId="0" borderId="0" xfId="0" applyNumberFormat="1" applyFont="1"/>
    <xf numFmtId="0" fontId="42" fillId="0" borderId="0" xfId="0" applyFont="1" applyAlignment="1">
      <alignment horizontal="center" vertical="center" wrapText="1"/>
    </xf>
    <xf numFmtId="9" fontId="1" fillId="0" borderId="0" xfId="1" applyFont="1" applyFill="1"/>
    <xf numFmtId="0" fontId="10" fillId="10" borderId="0" xfId="0" applyFont="1" applyFill="1" applyAlignment="1">
      <alignment horizontal="left" vertical="top"/>
    </xf>
    <xf numFmtId="0" fontId="9" fillId="11" borderId="0" xfId="0" applyFont="1" applyFill="1"/>
    <xf numFmtId="3" fontId="25" fillId="11" borderId="0" xfId="0" applyNumberFormat="1" applyFont="1" applyFill="1"/>
    <xf numFmtId="3" fontId="34" fillId="11" borderId="0" xfId="0" applyNumberFormat="1" applyFont="1" applyFill="1"/>
    <xf numFmtId="9" fontId="9" fillId="11" borderId="0" xfId="1" applyFont="1" applyFill="1"/>
    <xf numFmtId="0" fontId="9" fillId="11" borderId="0" xfId="0" applyFont="1" applyFill="1" applyAlignment="1">
      <alignment horizontal="right"/>
    </xf>
    <xf numFmtId="0" fontId="9" fillId="11" borderId="0" xfId="0" applyFont="1" applyFill="1" applyAlignment="1">
      <alignment horizontal="right" vertical="center"/>
    </xf>
    <xf numFmtId="0" fontId="9" fillId="9" borderId="0" xfId="0" applyFont="1" applyFill="1"/>
    <xf numFmtId="3" fontId="34" fillId="9" borderId="0" xfId="0" applyNumberFormat="1" applyFont="1" applyFill="1"/>
    <xf numFmtId="9" fontId="9" fillId="9" borderId="0" xfId="1" applyFont="1" applyFill="1"/>
    <xf numFmtId="0" fontId="9" fillId="9" borderId="0" xfId="0" applyFont="1" applyFill="1" applyAlignment="1">
      <alignment horizontal="right"/>
    </xf>
    <xf numFmtId="0" fontId="9" fillId="9" borderId="0" xfId="0" applyFont="1" applyFill="1" applyAlignment="1">
      <alignment horizontal="right" vertical="center"/>
    </xf>
    <xf numFmtId="9" fontId="25" fillId="9" borderId="0" xfId="0" applyNumberFormat="1" applyFont="1" applyFill="1"/>
    <xf numFmtId="0" fontId="10" fillId="12" borderId="0" xfId="0" applyFont="1" applyFill="1" applyAlignment="1">
      <alignment horizontal="left" vertical="top"/>
    </xf>
    <xf numFmtId="3" fontId="9" fillId="9" borderId="0" xfId="0" applyNumberFormat="1" applyFont="1" applyFill="1"/>
    <xf numFmtId="3" fontId="11" fillId="9" borderId="0" xfId="0" applyNumberFormat="1" applyFont="1" applyFill="1"/>
    <xf numFmtId="0" fontId="44" fillId="0" borderId="0" xfId="0" applyFont="1"/>
    <xf numFmtId="9" fontId="43" fillId="9" borderId="0" xfId="1" applyFont="1" applyFill="1" applyBorder="1"/>
    <xf numFmtId="0" fontId="43" fillId="9" borderId="0" xfId="0" applyFont="1" applyFill="1"/>
    <xf numFmtId="0" fontId="43" fillId="9" borderId="0" xfId="0" applyFont="1" applyFill="1" applyAlignment="1">
      <alignment horizontal="right"/>
    </xf>
    <xf numFmtId="0" fontId="43" fillId="9" borderId="0" xfId="0" applyFont="1" applyFill="1" applyAlignment="1">
      <alignment horizontal="right" vertical="center"/>
    </xf>
    <xf numFmtId="0" fontId="9" fillId="3" borderId="0" xfId="0" applyFont="1" applyFill="1" applyAlignment="1">
      <alignment horizontal="left" vertical="top"/>
    </xf>
    <xf numFmtId="9" fontId="9" fillId="0" borderId="0" xfId="0" applyNumberFormat="1" applyFont="1"/>
    <xf numFmtId="1" fontId="9" fillId="7" borderId="0" xfId="0" applyNumberFormat="1" applyFont="1" applyFill="1"/>
    <xf numFmtId="0" fontId="45" fillId="0" borderId="0" xfId="0" applyFont="1"/>
    <xf numFmtId="3" fontId="45" fillId="0" borderId="0" xfId="0" applyNumberFormat="1" applyFont="1"/>
    <xf numFmtId="3" fontId="46" fillId="0" borderId="0" xfId="0" applyNumberFormat="1" applyFont="1"/>
    <xf numFmtId="1" fontId="47" fillId="0" borderId="0" xfId="0" applyNumberFormat="1" applyFont="1"/>
    <xf numFmtId="3" fontId="43" fillId="9" borderId="0" xfId="0" applyNumberFormat="1" applyFont="1" applyFill="1"/>
    <xf numFmtId="3" fontId="9" fillId="11" borderId="0" xfId="0" applyNumberFormat="1" applyFont="1" applyFill="1"/>
    <xf numFmtId="0" fontId="25" fillId="4" borderId="1" xfId="0" applyFont="1" applyFill="1" applyBorder="1" applyAlignment="1">
      <alignment horizontal="right" vertical="center" wrapText="1"/>
    </xf>
    <xf numFmtId="0" fontId="25" fillId="9" borderId="1" xfId="0" applyFont="1" applyFill="1" applyBorder="1" applyAlignment="1">
      <alignment horizontal="right" vertical="center" wrapText="1"/>
    </xf>
    <xf numFmtId="0" fontId="25" fillId="11" borderId="1" xfId="0" applyFont="1" applyFill="1" applyBorder="1" applyAlignment="1">
      <alignment horizontal="right" vertical="center" wrapText="1"/>
    </xf>
    <xf numFmtId="0" fontId="25" fillId="4" borderId="3" xfId="0" applyFont="1" applyFill="1" applyBorder="1" applyAlignment="1">
      <alignment horizontal="right" vertical="center" wrapText="1"/>
    </xf>
    <xf numFmtId="0" fontId="25" fillId="9" borderId="0" xfId="0" applyFont="1" applyFill="1" applyAlignment="1">
      <alignment horizontal="right" vertical="center" wrapText="1"/>
    </xf>
    <xf numFmtId="0" fontId="25" fillId="4" borderId="4" xfId="0" applyFont="1" applyFill="1" applyBorder="1" applyAlignment="1">
      <alignment horizontal="right" vertical="center" wrapText="1"/>
    </xf>
    <xf numFmtId="0" fontId="25" fillId="9" borderId="0" xfId="0" applyFont="1" applyFill="1"/>
    <xf numFmtId="0" fontId="25" fillId="11" borderId="0" xfId="0" applyFont="1" applyFill="1"/>
    <xf numFmtId="1" fontId="34" fillId="0" borderId="0" xfId="0" applyNumberFormat="1" applyFont="1" applyAlignment="1">
      <alignment wrapText="1"/>
    </xf>
    <xf numFmtId="1" fontId="34" fillId="0" borderId="0" xfId="0" applyNumberFormat="1" applyFont="1"/>
    <xf numFmtId="1" fontId="25" fillId="0" borderId="0" xfId="0" applyNumberFormat="1" applyFont="1"/>
    <xf numFmtId="0" fontId="25" fillId="0" borderId="0" xfId="0" applyFont="1" applyAlignment="1">
      <alignment horizontal="right"/>
    </xf>
    <xf numFmtId="0" fontId="25" fillId="0" borderId="0" xfId="0" applyFont="1" applyAlignment="1">
      <alignment horizontal="right" vertical="center"/>
    </xf>
    <xf numFmtId="1" fontId="34" fillId="9" borderId="0" xfId="0" applyNumberFormat="1" applyFont="1" applyFill="1" applyAlignment="1">
      <alignment wrapText="1"/>
    </xf>
    <xf numFmtId="1" fontId="34" fillId="9" borderId="0" xfId="0" applyNumberFormat="1" applyFont="1" applyFill="1"/>
    <xf numFmtId="1" fontId="25" fillId="9" borderId="0" xfId="0" applyNumberFormat="1" applyFont="1" applyFill="1"/>
    <xf numFmtId="0" fontId="25" fillId="9" borderId="0" xfId="0" applyFont="1" applyFill="1" applyAlignment="1">
      <alignment horizontal="right"/>
    </xf>
    <xf numFmtId="1" fontId="34" fillId="11" borderId="0" xfId="0" applyNumberFormat="1" applyFont="1" applyFill="1" applyAlignment="1">
      <alignment wrapText="1"/>
    </xf>
    <xf numFmtId="1" fontId="34" fillId="11" borderId="0" xfId="0" applyNumberFormat="1" applyFont="1" applyFill="1"/>
    <xf numFmtId="1" fontId="25" fillId="11" borderId="0" xfId="0" applyNumberFormat="1" applyFont="1" applyFill="1"/>
    <xf numFmtId="0" fontId="25" fillId="11" borderId="0" xfId="0" applyFont="1" applyFill="1" applyAlignment="1">
      <alignment horizontal="right"/>
    </xf>
    <xf numFmtId="1" fontId="25" fillId="0" borderId="0" xfId="0" applyNumberFormat="1" applyFont="1" applyAlignment="1">
      <alignment wrapText="1"/>
    </xf>
    <xf numFmtId="3" fontId="34" fillId="0" borderId="0" xfId="0" applyNumberFormat="1" applyFont="1" applyAlignment="1">
      <alignment horizontal="left"/>
    </xf>
    <xf numFmtId="3" fontId="25" fillId="0" borderId="0" xfId="0" applyNumberFormat="1" applyFont="1" applyAlignment="1">
      <alignment horizontal="left"/>
    </xf>
    <xf numFmtId="3" fontId="34" fillId="9" borderId="0" xfId="0" applyNumberFormat="1" applyFont="1" applyFill="1" applyAlignment="1">
      <alignment horizontal="left"/>
    </xf>
    <xf numFmtId="9" fontId="34" fillId="9" borderId="0" xfId="1" applyFont="1" applyFill="1"/>
    <xf numFmtId="9" fontId="34" fillId="0" borderId="0" xfId="1" applyFont="1" applyFill="1"/>
    <xf numFmtId="0" fontId="25" fillId="0" borderId="0" xfId="0" applyFont="1" applyAlignment="1">
      <alignment wrapText="1"/>
    </xf>
    <xf numFmtId="1" fontId="49" fillId="0" borderId="0" xfId="0" applyNumberFormat="1" applyFont="1"/>
    <xf numFmtId="0" fontId="9" fillId="0" borderId="0" xfId="0" applyFont="1" applyAlignment="1">
      <alignment wrapText="1"/>
    </xf>
    <xf numFmtId="0" fontId="49" fillId="0" borderId="0" xfId="0" applyFont="1" applyAlignment="1">
      <alignment wrapText="1"/>
    </xf>
    <xf numFmtId="2" fontId="11" fillId="0" borderId="0" xfId="0" applyNumberFormat="1" applyFont="1"/>
    <xf numFmtId="164" fontId="11" fillId="0" borderId="0" xfId="0" applyNumberFormat="1" applyFont="1"/>
    <xf numFmtId="4" fontId="34" fillId="0" borderId="0" xfId="0" applyNumberFormat="1" applyFont="1"/>
    <xf numFmtId="0" fontId="48" fillId="0" borderId="0" xfId="0" applyFont="1"/>
    <xf numFmtId="0" fontId="50" fillId="4" borderId="1" xfId="0" applyFont="1" applyFill="1" applyBorder="1" applyAlignment="1">
      <alignment horizontal="right" vertical="center" wrapText="1"/>
    </xf>
    <xf numFmtId="0" fontId="34" fillId="0" borderId="0" xfId="0" applyFont="1" applyAlignment="1">
      <alignment wrapText="1"/>
    </xf>
    <xf numFmtId="0" fontId="38" fillId="0" borderId="0" xfId="0" applyFont="1" applyAlignment="1">
      <alignment horizontal="center" wrapText="1"/>
    </xf>
    <xf numFmtId="0" fontId="9" fillId="2" borderId="0" xfId="0" applyFont="1" applyFill="1" applyAlignment="1">
      <alignment horizontal="center"/>
    </xf>
    <xf numFmtId="1" fontId="11" fillId="7" borderId="0" xfId="0" applyNumberFormat="1" applyFont="1" applyFill="1" applyAlignment="1">
      <alignment horizontal="center"/>
    </xf>
    <xf numFmtId="0" fontId="9" fillId="5" borderId="0" xfId="0" applyFont="1" applyFill="1" applyAlignment="1">
      <alignment horizontal="center" wrapText="1"/>
    </xf>
    <xf numFmtId="0" fontId="9" fillId="6" borderId="0" xfId="0" applyFont="1" applyFill="1" applyAlignment="1">
      <alignment horizontal="center"/>
    </xf>
    <xf numFmtId="0" fontId="9" fillId="0" borderId="0" xfId="0" applyFont="1" applyAlignment="1">
      <alignment horizontal="center" wrapText="1"/>
    </xf>
    <xf numFmtId="0" fontId="18" fillId="0" borderId="0" xfId="0" applyFont="1" applyAlignment="1">
      <alignment horizontal="center" vertical="center" wrapText="1"/>
    </xf>
  </cellXfs>
  <cellStyles count="6">
    <cellStyle name="Hyperlink" xfId="2" builtinId="8"/>
    <cellStyle name="Hyperlink 2" xfId="4" xr:uid="{AE819453-1834-4472-8A38-F82B7BC1D01A}"/>
    <cellStyle name="Input 2" xfId="5" xr:uid="{EF3F16B7-D8C7-4E8D-8217-7E7D16A00729}"/>
    <cellStyle name="Normal" xfId="0" builtinId="0"/>
    <cellStyle name="Normal 2" xfId="3" xr:uid="{2F0FBA2D-4483-4C5B-A14E-54FD09132B31}"/>
    <cellStyle name="Percent" xfId="1" builtinId="5"/>
  </cellStyles>
  <dxfs count="7">
    <dxf>
      <fill>
        <patternFill>
          <bgColor theme="5" tint="-0.24994659260841701"/>
        </patternFill>
      </fill>
    </dxf>
    <dxf>
      <fill>
        <patternFill>
          <bgColor theme="5" tint="0.59996337778862885"/>
        </patternFill>
      </fill>
    </dxf>
    <dxf>
      <font>
        <color rgb="FFFF0000"/>
      </font>
    </dxf>
    <dxf>
      <font>
        <color rgb="FFFF0000"/>
      </font>
    </dxf>
    <dxf>
      <font>
        <color rgb="FFFF0000"/>
      </font>
    </dxf>
    <dxf>
      <font>
        <color rgb="FFFF0000"/>
      </font>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lrsam.sharepoint.com/sites/:x:/s/SAMPsichikossveikata/Ec7ZlKFe1d9Hr0CwOdI8zRsB82BMPadtAREMn2raUaqxBg?e=Q91yId&amp;nav=MTVfezZBMEUzNEE3LUUwMTQtNEZFMy1CMkU2LTVGMEVFQ0VENEYzNX0" TargetMode="External"/><Relationship Id="rId1" Type="http://schemas.openxmlformats.org/officeDocument/2006/relationships/hyperlink" Target="https://lrsam.sharepoint.com/sites/:x:/s/SAMPsichikossveikata/Ec7ZlKFe1d9Hr0CwOdI8zRsB82BMPadtAREMn2raUaqxBg?e=Q91yId&amp;nav=MTVfezZBMEUzNEE3LUUwMTQtNEZFMy1CMkU2LTVGMEVFQ0VENEYzNX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eur-lex.europa.eu/legal-content/EN/TXT/?uri=CELEX%3A32021R1060" TargetMode="External"/><Relationship Id="rId2" Type="http://schemas.openxmlformats.org/officeDocument/2006/relationships/hyperlink" Target="https://www.esinvesticijos.lt/dokumentai/fi-24-01-fi-24-03-psichologo-psichoterapeuto-soc-darbuotojo-ir-kt-specialistu-du-fi-nustatymo-tyrimas" TargetMode="External"/><Relationship Id="rId1" Type="http://schemas.openxmlformats.org/officeDocument/2006/relationships/hyperlink" Target="https://www.esinvesticijos.lt/dokumentai/fi-33-01-fi-33-02-kompleksiniu-paslaugu-seimai-fi-nustatymo-tyrima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4F30-7BB6-43AC-A05E-76A038565A23}">
  <dimension ref="B1:C14"/>
  <sheetViews>
    <sheetView tabSelected="1" topLeftCell="B1" workbookViewId="0">
      <selection activeCell="B12" sqref="B12"/>
    </sheetView>
  </sheetViews>
  <sheetFormatPr defaultColWidth="8.7109375" defaultRowHeight="15" x14ac:dyDescent="0.25"/>
  <cols>
    <col min="1" max="1" width="2.28515625" style="1" customWidth="1"/>
    <col min="2" max="2" width="51.5703125" style="1" customWidth="1"/>
    <col min="3" max="3" width="18.7109375" style="1" customWidth="1"/>
    <col min="4" max="16384" width="8.7109375" style="1"/>
  </cols>
  <sheetData>
    <row r="1" spans="2:3" ht="40.9" customHeight="1" x14ac:dyDescent="0.3">
      <c r="B1" s="175" t="s">
        <v>0</v>
      </c>
      <c r="C1" s="175"/>
    </row>
    <row r="2" spans="2:3" ht="30" x14ac:dyDescent="0.25">
      <c r="B2" s="4" t="s">
        <v>1</v>
      </c>
      <c r="C2" s="4" t="s">
        <v>2</v>
      </c>
    </row>
    <row r="3" spans="2:3" ht="140.25" customHeight="1" x14ac:dyDescent="0.25">
      <c r="B3" s="1" t="s">
        <v>3</v>
      </c>
      <c r="C3" s="1" t="s">
        <v>4</v>
      </c>
    </row>
    <row r="4" spans="2:3" ht="75" x14ac:dyDescent="0.25">
      <c r="B4" s="1" t="s">
        <v>5</v>
      </c>
      <c r="C4" s="1" t="s">
        <v>6</v>
      </c>
    </row>
    <row r="5" spans="2:3" ht="45" x14ac:dyDescent="0.25">
      <c r="B5" s="1" t="s">
        <v>7</v>
      </c>
      <c r="C5" s="1" t="s">
        <v>8</v>
      </c>
    </row>
    <row r="6" spans="2:3" ht="75" x14ac:dyDescent="0.25">
      <c r="B6" s="1" t="s">
        <v>9</v>
      </c>
      <c r="C6" s="1" t="s">
        <v>10</v>
      </c>
    </row>
    <row r="7" spans="2:3" ht="120" x14ac:dyDescent="0.25">
      <c r="B7" s="1" t="s">
        <v>11</v>
      </c>
      <c r="C7" s="1" t="s">
        <v>12</v>
      </c>
    </row>
    <row r="8" spans="2:3" ht="60" x14ac:dyDescent="0.25">
      <c r="B8" s="1" t="s">
        <v>13</v>
      </c>
      <c r="C8" s="93" t="s">
        <v>14</v>
      </c>
    </row>
    <row r="9" spans="2:3" ht="45" x14ac:dyDescent="0.25">
      <c r="B9" s="1" t="s">
        <v>15</v>
      </c>
      <c r="C9" s="1" t="s">
        <v>16</v>
      </c>
    </row>
    <row r="10" spans="2:3" ht="30" x14ac:dyDescent="0.25">
      <c r="B10" s="94" t="s">
        <v>17</v>
      </c>
    </row>
    <row r="11" spans="2:3" ht="45" x14ac:dyDescent="0.25">
      <c r="B11" s="1" t="s">
        <v>18</v>
      </c>
      <c r="C11" s="1" t="s">
        <v>19</v>
      </c>
    </row>
    <row r="12" spans="2:3" ht="60" x14ac:dyDescent="0.25">
      <c r="B12" s="1" t="s">
        <v>20</v>
      </c>
      <c r="C12" s="93" t="s">
        <v>14</v>
      </c>
    </row>
    <row r="13" spans="2:3" ht="75" x14ac:dyDescent="0.25">
      <c r="B13" s="1" t="s">
        <v>21</v>
      </c>
      <c r="C13" s="1" t="s">
        <v>22</v>
      </c>
    </row>
    <row r="14" spans="2:3" ht="60" x14ac:dyDescent="0.25">
      <c r="B14" s="1" t="s">
        <v>23</v>
      </c>
      <c r="C14" s="1" t="s">
        <v>24</v>
      </c>
    </row>
  </sheetData>
  <sheetProtection sheet="1" objects="1" scenarios="1"/>
  <mergeCells count="1">
    <mergeCell ref="B1:C1"/>
  </mergeCells>
  <hyperlinks>
    <hyperlink ref="C12" r:id="rId1" xr:uid="{F13521FD-1B78-446B-B8AE-2E2FC26BB92C}"/>
    <hyperlink ref="C8" r:id="rId2" xr:uid="{B7814EE8-D2EB-4184-83D0-9F15DF928F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24B-05F5-4F02-B5A3-D8C16753DD01}">
  <sheetPr>
    <pageSetUpPr fitToPage="1"/>
  </sheetPr>
  <dimension ref="A1:Y111"/>
  <sheetViews>
    <sheetView topLeftCell="A17" zoomScaleNormal="100" workbookViewId="0">
      <pane xSplit="1" ySplit="2" topLeftCell="B76" activePane="bottomRight" state="frozen"/>
      <selection pane="topRight" activeCell="B17" sqref="B17"/>
      <selection pane="bottomLeft" activeCell="A22" sqref="A22"/>
      <selection pane="bottomRight" activeCell="P88" sqref="P88"/>
    </sheetView>
  </sheetViews>
  <sheetFormatPr defaultRowHeight="15" x14ac:dyDescent="0.25"/>
  <cols>
    <col min="1" max="1" width="23.7109375" customWidth="1"/>
    <col min="2" max="2" width="13.5703125" style="14" customWidth="1"/>
    <col min="3" max="3" width="10.28515625" style="14" customWidth="1"/>
    <col min="4" max="4" width="16" style="14" customWidth="1"/>
    <col min="5" max="5" width="15.28515625" style="14" customWidth="1"/>
    <col min="6" max="6" width="15" style="98" customWidth="1"/>
    <col min="7" max="7" width="14.5703125" style="73" customWidth="1"/>
    <col min="8" max="8" width="12.7109375" style="73" customWidth="1"/>
    <col min="9" max="9" width="9.7109375" style="74" customWidth="1"/>
    <col min="10" max="10" width="9.7109375" style="16" customWidth="1"/>
    <col min="11" max="11" width="11.42578125" style="10" customWidth="1"/>
    <col min="12" max="12" width="11.42578125" customWidth="1"/>
    <col min="13" max="13" width="11.42578125" style="13" customWidth="1"/>
    <col min="14" max="14" width="11.42578125" style="1" customWidth="1"/>
    <col min="15" max="15" width="11.42578125" style="13" customWidth="1"/>
    <col min="16" max="16" width="11.42578125" customWidth="1"/>
    <col min="17" max="17" width="11.42578125" style="13" customWidth="1"/>
    <col min="18" max="18" width="11.42578125" customWidth="1"/>
    <col min="19" max="19" width="19.7109375" customWidth="1"/>
    <col min="20" max="20" width="18.28515625" customWidth="1"/>
    <col min="21" max="21" width="18.42578125" customWidth="1"/>
    <col min="22" max="22" width="10.28515625" bestFit="1" customWidth="1"/>
    <col min="23" max="23" width="11.28515625" style="16" customWidth="1"/>
    <col min="24" max="24" width="9.5703125" style="16" customWidth="1"/>
    <col min="25" max="25" width="8.7109375" style="13"/>
  </cols>
  <sheetData>
    <row r="1" spans="1:25" s="22" customFormat="1" ht="14.65" hidden="1" customHeight="1" x14ac:dyDescent="0.25">
      <c r="B1" s="23"/>
      <c r="C1" s="23"/>
      <c r="D1" s="23"/>
      <c r="E1" s="23"/>
      <c r="F1" s="95"/>
      <c r="G1" s="63"/>
      <c r="H1" s="64"/>
      <c r="I1" s="63"/>
      <c r="O1" s="14"/>
      <c r="Q1" s="14"/>
      <c r="X1" s="100"/>
      <c r="Y1" s="14"/>
    </row>
    <row r="2" spans="1:25" ht="14.65" hidden="1" customHeight="1" x14ac:dyDescent="0.25">
      <c r="B2" s="10"/>
      <c r="C2" s="10"/>
      <c r="D2" s="10"/>
      <c r="E2" s="10"/>
      <c r="F2" s="12"/>
      <c r="G2" s="65"/>
      <c r="H2" s="66"/>
      <c r="I2" s="65"/>
      <c r="J2" s="107"/>
      <c r="W2" s="107"/>
      <c r="X2" s="107"/>
    </row>
    <row r="3" spans="1:25" ht="14.65" hidden="1" customHeight="1" x14ac:dyDescent="0.25">
      <c r="B3" s="10"/>
      <c r="C3" s="10"/>
      <c r="D3" s="10"/>
      <c r="E3" s="10"/>
      <c r="F3" s="12"/>
      <c r="G3" s="65"/>
      <c r="H3" s="66"/>
      <c r="I3" s="65"/>
      <c r="J3" s="107"/>
      <c r="W3" s="107"/>
      <c r="X3" s="107"/>
    </row>
    <row r="4" spans="1:25" ht="14.65" hidden="1" customHeight="1" x14ac:dyDescent="0.25">
      <c r="B4" s="10"/>
      <c r="C4" s="10"/>
      <c r="D4" s="10"/>
      <c r="E4" s="10"/>
      <c r="F4" s="12"/>
      <c r="G4" s="65"/>
      <c r="H4" s="66"/>
      <c r="I4" s="65"/>
      <c r="J4" s="107"/>
      <c r="W4" s="107"/>
      <c r="X4" s="107"/>
    </row>
    <row r="5" spans="1:25" ht="14.65" hidden="1" customHeight="1" x14ac:dyDescent="0.25">
      <c r="B5" s="10"/>
      <c r="C5" s="10"/>
      <c r="D5" s="10"/>
      <c r="E5" s="10"/>
      <c r="F5" s="12"/>
      <c r="G5" s="65"/>
      <c r="H5" s="66"/>
      <c r="I5" s="65"/>
      <c r="J5" s="107"/>
      <c r="W5" s="107"/>
      <c r="X5" s="107"/>
    </row>
    <row r="6" spans="1:25" ht="14.65" hidden="1" customHeight="1" x14ac:dyDescent="0.25">
      <c r="B6" s="24"/>
      <c r="C6" s="24"/>
      <c r="D6" s="24"/>
      <c r="E6" s="24"/>
      <c r="F6" s="96"/>
      <c r="G6" s="67"/>
      <c r="H6" s="68"/>
      <c r="I6" s="69"/>
      <c r="J6" s="107"/>
      <c r="W6" s="107"/>
      <c r="X6" s="107"/>
    </row>
    <row r="7" spans="1:25" ht="14.65" hidden="1" customHeight="1" x14ac:dyDescent="0.25">
      <c r="B7" s="10"/>
      <c r="C7" s="10"/>
      <c r="D7" s="10"/>
      <c r="E7" s="10"/>
      <c r="F7" s="12"/>
      <c r="G7" s="65"/>
      <c r="H7" s="66"/>
      <c r="I7" s="69"/>
      <c r="J7" s="107"/>
      <c r="W7" s="107"/>
      <c r="X7" s="107"/>
    </row>
    <row r="8" spans="1:25" ht="14.65" hidden="1" customHeight="1" x14ac:dyDescent="0.25">
      <c r="B8" s="10"/>
      <c r="C8" s="10"/>
      <c r="D8" s="10"/>
      <c r="E8" s="10"/>
      <c r="F8" s="12"/>
      <c r="G8" s="65"/>
      <c r="H8" s="66"/>
      <c r="I8" s="69"/>
      <c r="J8" s="107"/>
      <c r="W8" s="107"/>
      <c r="X8" s="107"/>
    </row>
    <row r="9" spans="1:25" ht="14.65" hidden="1" customHeight="1" x14ac:dyDescent="0.25">
      <c r="B9" s="10"/>
      <c r="C9" s="10"/>
      <c r="D9" s="10"/>
      <c r="E9" s="10"/>
      <c r="F9" s="12"/>
      <c r="G9" s="65"/>
      <c r="H9" s="66"/>
      <c r="I9" s="69"/>
      <c r="J9" s="107"/>
      <c r="W9" s="107"/>
      <c r="X9" s="107"/>
    </row>
    <row r="10" spans="1:25" ht="14.65" hidden="1" customHeight="1" x14ac:dyDescent="0.25">
      <c r="B10" s="10"/>
      <c r="C10" s="10"/>
      <c r="D10" s="10"/>
      <c r="E10" s="10"/>
      <c r="F10" s="12"/>
      <c r="G10" s="65"/>
      <c r="H10" s="66"/>
      <c r="I10" s="69"/>
      <c r="J10" s="107"/>
      <c r="W10" s="107"/>
      <c r="X10" s="107"/>
    </row>
    <row r="11" spans="1:25" ht="14.65" hidden="1" customHeight="1" x14ac:dyDescent="0.25">
      <c r="A11" s="22"/>
      <c r="B11" s="10"/>
      <c r="C11" s="10"/>
      <c r="D11" s="10"/>
      <c r="E11" s="10"/>
      <c r="F11" s="12"/>
      <c r="G11" s="65"/>
      <c r="H11" s="66"/>
      <c r="I11" s="69"/>
      <c r="J11" s="107"/>
      <c r="W11" s="107"/>
      <c r="X11" s="107"/>
    </row>
    <row r="12" spans="1:25" s="25" customFormat="1" ht="14.65" hidden="1" customHeight="1" x14ac:dyDescent="0.25">
      <c r="B12" s="26"/>
      <c r="C12" s="26"/>
      <c r="D12" s="26"/>
      <c r="E12" s="26"/>
      <c r="F12" s="97"/>
      <c r="G12" s="70"/>
      <c r="H12" s="71"/>
      <c r="I12" s="72"/>
      <c r="N12" s="3"/>
      <c r="O12" s="27"/>
      <c r="Q12" s="27"/>
      <c r="X12" s="101"/>
      <c r="Y12" s="27"/>
    </row>
    <row r="13" spans="1:25" ht="14.65" hidden="1" customHeight="1" x14ac:dyDescent="0.25">
      <c r="J13" s="107"/>
      <c r="W13" s="107"/>
      <c r="X13" s="107"/>
    </row>
    <row r="14" spans="1:25" ht="14.65" hidden="1" customHeight="1" x14ac:dyDescent="0.25">
      <c r="J14" s="107"/>
      <c r="W14" s="107"/>
      <c r="X14" s="107"/>
    </row>
    <row r="15" spans="1:25" ht="14.65" hidden="1" customHeight="1" x14ac:dyDescent="0.25">
      <c r="J15" s="107"/>
      <c r="W15" s="107"/>
      <c r="X15" s="107"/>
    </row>
    <row r="16" spans="1:25" ht="14.65" hidden="1" customHeight="1" x14ac:dyDescent="0.25">
      <c r="J16" s="107"/>
      <c r="W16" s="107"/>
      <c r="X16" s="107"/>
    </row>
    <row r="18" spans="1:25" s="5" customFormat="1" ht="12.75" x14ac:dyDescent="0.2">
      <c r="B18" s="54"/>
      <c r="C18" s="176" t="s">
        <v>25</v>
      </c>
      <c r="D18" s="176"/>
      <c r="E18" s="176"/>
      <c r="F18" s="176"/>
      <c r="G18" s="177" t="s">
        <v>26</v>
      </c>
      <c r="H18" s="177"/>
      <c r="I18" s="177"/>
      <c r="J18" s="177"/>
      <c r="K18" s="178" t="s">
        <v>27</v>
      </c>
      <c r="L18" s="178"/>
      <c r="M18" s="178"/>
      <c r="N18" s="178"/>
      <c r="O18" s="178"/>
      <c r="P18" s="178"/>
      <c r="Q18" s="178"/>
      <c r="R18" s="178"/>
      <c r="S18" s="179" t="s">
        <v>28</v>
      </c>
      <c r="T18" s="179"/>
      <c r="U18" s="179"/>
      <c r="W18" s="92"/>
      <c r="X18" s="102"/>
      <c r="Y18" s="131"/>
    </row>
    <row r="19" spans="1:25" s="6" customFormat="1" ht="51.6" customHeight="1" x14ac:dyDescent="0.2">
      <c r="B19" s="15"/>
      <c r="C19" s="15"/>
      <c r="D19" s="15"/>
      <c r="E19" s="15"/>
      <c r="F19" s="15"/>
      <c r="G19" s="75"/>
      <c r="H19" s="75"/>
      <c r="I19" s="76"/>
      <c r="J19" s="17"/>
      <c r="K19" s="180" t="s">
        <v>29</v>
      </c>
      <c r="L19" s="180"/>
      <c r="M19" s="180" t="s">
        <v>30</v>
      </c>
      <c r="N19" s="180"/>
      <c r="O19" s="180" t="s">
        <v>31</v>
      </c>
      <c r="P19" s="180"/>
      <c r="Q19" s="180" t="s">
        <v>32</v>
      </c>
      <c r="R19" s="180"/>
      <c r="S19" s="6" t="s">
        <v>33</v>
      </c>
      <c r="T19" s="6" t="s">
        <v>34</v>
      </c>
      <c r="U19" s="6" t="s">
        <v>35</v>
      </c>
      <c r="W19" s="17"/>
      <c r="X19" s="17"/>
      <c r="Y19" s="11"/>
    </row>
    <row r="20" spans="1:25" s="50" customFormat="1" ht="13.15" customHeight="1" x14ac:dyDescent="0.2">
      <c r="A20" s="50" t="s">
        <v>36</v>
      </c>
      <c r="B20" s="49"/>
      <c r="C20" s="49"/>
      <c r="D20" s="49"/>
      <c r="E20" s="49"/>
      <c r="F20" s="49"/>
      <c r="G20" s="75"/>
      <c r="H20" s="75"/>
      <c r="I20" s="75"/>
      <c r="J20" s="89"/>
      <c r="L20" s="50">
        <v>12.9</v>
      </c>
      <c r="N20" s="50">
        <v>2.2999999999999998</v>
      </c>
      <c r="P20" s="50">
        <v>3.2</v>
      </c>
      <c r="R20" s="50">
        <v>3.4</v>
      </c>
      <c r="S20" s="50">
        <v>33</v>
      </c>
      <c r="T20" s="50">
        <v>18</v>
      </c>
      <c r="U20" s="50">
        <v>1.6</v>
      </c>
      <c r="W20" s="89"/>
      <c r="X20" s="89"/>
      <c r="Y20" s="49"/>
    </row>
    <row r="21" spans="1:25" s="6" customFormat="1" ht="38.65" customHeight="1" x14ac:dyDescent="0.2">
      <c r="A21" s="6" t="s">
        <v>37</v>
      </c>
      <c r="B21" s="78" t="s">
        <v>38</v>
      </c>
      <c r="C21" s="6" t="s">
        <v>39</v>
      </c>
      <c r="D21" s="6" t="s">
        <v>40</v>
      </c>
      <c r="E21" s="6" t="s">
        <v>41</v>
      </c>
      <c r="F21" s="6" t="s">
        <v>42</v>
      </c>
      <c r="G21" s="77" t="s">
        <v>43</v>
      </c>
      <c r="H21" s="77" t="s">
        <v>44</v>
      </c>
      <c r="I21" s="78" t="s">
        <v>45</v>
      </c>
      <c r="J21" s="17" t="s">
        <v>46</v>
      </c>
      <c r="K21" s="11" t="s">
        <v>47</v>
      </c>
      <c r="L21" s="6" t="s">
        <v>48</v>
      </c>
      <c r="M21" s="11" t="s">
        <v>47</v>
      </c>
      <c r="N21" s="6" t="s">
        <v>48</v>
      </c>
      <c r="O21" s="11" t="s">
        <v>49</v>
      </c>
      <c r="P21" s="6" t="s">
        <v>48</v>
      </c>
      <c r="Q21" s="11" t="s">
        <v>47</v>
      </c>
      <c r="R21" s="6" t="s">
        <v>48</v>
      </c>
      <c r="S21" s="6" t="s">
        <v>48</v>
      </c>
      <c r="T21" s="6" t="s">
        <v>48</v>
      </c>
      <c r="U21" s="6" t="s">
        <v>48</v>
      </c>
      <c r="W21" s="50" t="s">
        <v>50</v>
      </c>
      <c r="X21" s="17" t="s">
        <v>46</v>
      </c>
      <c r="Y21" s="11" t="s">
        <v>51</v>
      </c>
    </row>
    <row r="22" spans="1:25" s="45" customFormat="1" ht="42.6" customHeight="1" x14ac:dyDescent="0.25">
      <c r="A22" s="42" t="s">
        <v>52</v>
      </c>
      <c r="B22" s="43"/>
      <c r="G22" s="79"/>
      <c r="H22" s="79"/>
      <c r="I22" s="80"/>
      <c r="J22" s="44"/>
      <c r="K22" s="43">
        <v>1000</v>
      </c>
      <c r="M22" s="46">
        <v>20000</v>
      </c>
      <c r="N22" s="42"/>
      <c r="O22" s="46">
        <v>4000</v>
      </c>
      <c r="Q22" s="46">
        <v>90000</v>
      </c>
      <c r="T22" s="47" t="s">
        <v>53</v>
      </c>
      <c r="U22" s="47" t="s">
        <v>53</v>
      </c>
      <c r="W22" s="79"/>
      <c r="X22" s="103"/>
      <c r="Y22" s="46"/>
    </row>
    <row r="23" spans="1:25" s="5" customFormat="1" x14ac:dyDescent="0.25">
      <c r="A23" s="9" t="s">
        <v>54</v>
      </c>
      <c r="B23" s="169">
        <v>52750</v>
      </c>
      <c r="C23" s="172">
        <v>18816</v>
      </c>
      <c r="D23" s="138">
        <v>11280</v>
      </c>
      <c r="E23" s="173">
        <v>5070</v>
      </c>
      <c r="F23" s="83">
        <v>1313</v>
      </c>
      <c r="G23" s="21">
        <f t="shared" ref="G23:G54" si="0">B23/10</f>
        <v>5275</v>
      </c>
      <c r="H23" s="82">
        <f>L23*$L$20+N23*$N$20+P23*$P$20+R23*$R$20+S23*$S$20+T23*$T$20+U23*$U$20</f>
        <v>0</v>
      </c>
      <c r="I23" s="81">
        <f t="shared" ref="I23:I54" si="1">IF(H23&lt;&gt;0,H23-G23,)</f>
        <v>0</v>
      </c>
      <c r="J23" s="18">
        <f>IF(H23&lt;&gt;0,(H23-G23)/G23,)</f>
        <v>0</v>
      </c>
      <c r="K23" s="146">
        <f t="shared" ref="K23:K36" si="2">ROUND($K$22/$F$93*F23,0)</f>
        <v>9</v>
      </c>
      <c r="L23" s="83"/>
      <c r="M23" s="147">
        <f t="shared" ref="M23:M36" si="3">ROUND($M$22/($D$93+$E$93)*(D23+E23)*$B$90,0)</f>
        <v>183</v>
      </c>
      <c r="N23" s="148"/>
      <c r="O23" s="147">
        <f>ROUND($O$22/($D$93+$E$93)*(D23+E23)*$B$90,0)</f>
        <v>37</v>
      </c>
      <c r="P23" s="149"/>
      <c r="Q23" s="147">
        <f>ROUND($Q$22/$C$93*C23*$B$90,0)</f>
        <v>808</v>
      </c>
      <c r="R23" s="61"/>
      <c r="S23" s="61"/>
      <c r="U23" s="61"/>
      <c r="W23" s="160">
        <f t="shared" ref="W23:W54" si="4">K23*$L$20+M23*$N$20+O23*$P$20+Q23*$R$20</f>
        <v>3402.6</v>
      </c>
      <c r="X23" s="105">
        <f t="shared" ref="X23:X54" si="5">(G23-W23)/G23</f>
        <v>0.35495734597156398</v>
      </c>
      <c r="Y23" s="60">
        <f>Q23*0.02</f>
        <v>16.16</v>
      </c>
    </row>
    <row r="24" spans="1:25" s="5" customFormat="1" x14ac:dyDescent="0.25">
      <c r="A24" s="9" t="s">
        <v>55</v>
      </c>
      <c r="B24" s="170">
        <v>135860</v>
      </c>
      <c r="C24" s="172">
        <v>50477</v>
      </c>
      <c r="D24" s="138">
        <v>30836</v>
      </c>
      <c r="E24" s="173">
        <v>13524</v>
      </c>
      <c r="F24" s="83">
        <v>3157</v>
      </c>
      <c r="G24" s="21">
        <f t="shared" si="0"/>
        <v>13586</v>
      </c>
      <c r="H24" s="82">
        <f t="shared" ref="H24:H82" si="6">L24*$L$20+N24*$N$20+P24*$P$20+R24*$R$20+S24*$S$20+T24*$T$20+U24*$U$20</f>
        <v>0</v>
      </c>
      <c r="I24" s="81">
        <f t="shared" si="1"/>
        <v>0</v>
      </c>
      <c r="J24" s="18">
        <f t="shared" ref="J24:J54" si="7">IF(H24&lt;&gt;0,(H24-G24)/G24,)</f>
        <v>0</v>
      </c>
      <c r="K24" s="146">
        <f t="shared" si="2"/>
        <v>21</v>
      </c>
      <c r="L24" s="83"/>
      <c r="M24" s="147">
        <f t="shared" si="3"/>
        <v>495</v>
      </c>
      <c r="N24" s="148"/>
      <c r="O24" s="147">
        <f>ROUND($O$22/($D$93+$E$93)*(D24+E24)*$B$90,0)</f>
        <v>99</v>
      </c>
      <c r="P24" s="149"/>
      <c r="Q24" s="147">
        <f>ROUND($Q$22/$C$93*C24*$B$90,0)</f>
        <v>2168</v>
      </c>
      <c r="R24" s="48"/>
      <c r="S24" s="48"/>
      <c r="U24" s="62"/>
      <c r="W24" s="160">
        <f t="shared" si="4"/>
        <v>9097.4</v>
      </c>
      <c r="X24" s="105">
        <f t="shared" si="5"/>
        <v>0.3303842190490211</v>
      </c>
      <c r="Y24" s="60">
        <f>Q24*0.02</f>
        <v>43.36</v>
      </c>
    </row>
    <row r="25" spans="1:25" s="5" customFormat="1" x14ac:dyDescent="0.25">
      <c r="A25" s="9" t="s">
        <v>56</v>
      </c>
      <c r="B25" s="170">
        <v>70620</v>
      </c>
      <c r="C25" s="172">
        <v>25217</v>
      </c>
      <c r="D25" s="138">
        <v>16006</v>
      </c>
      <c r="E25" s="173">
        <v>5940</v>
      </c>
      <c r="F25" s="83">
        <v>1795</v>
      </c>
      <c r="G25" s="21">
        <f t="shared" si="0"/>
        <v>7062</v>
      </c>
      <c r="H25" s="82">
        <f t="shared" si="6"/>
        <v>0</v>
      </c>
      <c r="I25" s="81">
        <f t="shared" si="1"/>
        <v>0</v>
      </c>
      <c r="J25" s="18">
        <f t="shared" si="7"/>
        <v>0</v>
      </c>
      <c r="K25" s="146">
        <f t="shared" si="2"/>
        <v>12</v>
      </c>
      <c r="L25" s="83"/>
      <c r="M25" s="147">
        <f t="shared" si="3"/>
        <v>245</v>
      </c>
      <c r="N25" s="148"/>
      <c r="O25" s="147">
        <f>ROUND($O$22/($D$93+$E$93)*(D25+E25)*$B$90,0)</f>
        <v>49</v>
      </c>
      <c r="P25" s="149"/>
      <c r="Q25" s="147">
        <f>ROUND($Q$22/$C$93*C25*$B$90,0)</f>
        <v>1083</v>
      </c>
      <c r="R25" s="62"/>
      <c r="S25" s="48"/>
      <c r="U25" s="62"/>
      <c r="W25" s="160">
        <f t="shared" si="4"/>
        <v>4557.2999999999993</v>
      </c>
      <c r="X25" s="105">
        <f t="shared" si="5"/>
        <v>0.35467289719626177</v>
      </c>
      <c r="Y25" s="60">
        <f>Q25*0.02</f>
        <v>21.66</v>
      </c>
    </row>
    <row r="26" spans="1:25" s="5" customFormat="1" x14ac:dyDescent="0.25">
      <c r="A26" s="9" t="s">
        <v>57</v>
      </c>
      <c r="B26" s="170">
        <v>61250</v>
      </c>
      <c r="C26" s="172">
        <v>21780</v>
      </c>
      <c r="D26" s="138">
        <v>13472</v>
      </c>
      <c r="E26" s="173">
        <v>6057</v>
      </c>
      <c r="F26" s="83">
        <v>1219</v>
      </c>
      <c r="G26" s="21">
        <f t="shared" si="0"/>
        <v>6125</v>
      </c>
      <c r="H26" s="82">
        <f t="shared" si="6"/>
        <v>0</v>
      </c>
      <c r="I26" s="81">
        <f t="shared" si="1"/>
        <v>0</v>
      </c>
      <c r="J26" s="18">
        <f t="shared" si="7"/>
        <v>0</v>
      </c>
      <c r="K26" s="146">
        <f t="shared" si="2"/>
        <v>8</v>
      </c>
      <c r="L26" s="83"/>
      <c r="M26" s="147">
        <f t="shared" si="3"/>
        <v>218</v>
      </c>
      <c r="N26" s="148"/>
      <c r="O26" s="147">
        <f>ROUND($O$22/($D$93+$E$93)*(D26+E26)*$B$90,0)</f>
        <v>44</v>
      </c>
      <c r="P26" s="149"/>
      <c r="Q26" s="147">
        <f>ROUND($Q$22/$C$93*C26*$B$90,0)</f>
        <v>935</v>
      </c>
      <c r="R26" s="48"/>
      <c r="S26" s="62"/>
      <c r="U26" s="62"/>
      <c r="W26" s="160">
        <f t="shared" si="4"/>
        <v>3924.4</v>
      </c>
      <c r="X26" s="105">
        <f t="shared" si="5"/>
        <v>0.35928163265306123</v>
      </c>
      <c r="Y26" s="60">
        <f t="shared" ref="Y26:Y82" si="8">Q26*0.02</f>
        <v>18.7</v>
      </c>
    </row>
    <row r="27" spans="1:25" s="5" customFormat="1" x14ac:dyDescent="0.25">
      <c r="A27" s="9" t="s">
        <v>58</v>
      </c>
      <c r="B27" s="170">
        <v>11430</v>
      </c>
      <c r="C27" s="172">
        <v>4052</v>
      </c>
      <c r="D27" s="138">
        <v>2377</v>
      </c>
      <c r="E27" s="173">
        <v>1225</v>
      </c>
      <c r="F27" s="83">
        <v>251</v>
      </c>
      <c r="G27" s="21">
        <f t="shared" si="0"/>
        <v>1143</v>
      </c>
      <c r="H27" s="82">
        <f t="shared" si="6"/>
        <v>0</v>
      </c>
      <c r="I27" s="81">
        <f t="shared" si="1"/>
        <v>0</v>
      </c>
      <c r="J27" s="18">
        <f t="shared" si="7"/>
        <v>0</v>
      </c>
      <c r="K27" s="146">
        <f t="shared" si="2"/>
        <v>2</v>
      </c>
      <c r="L27" s="83"/>
      <c r="M27" s="147">
        <f t="shared" si="3"/>
        <v>40</v>
      </c>
      <c r="N27" s="148"/>
      <c r="O27" s="147">
        <f>ROUND($O$22/($D$93+$E$93)*(D27+E27)*$B$90,0)</f>
        <v>8</v>
      </c>
      <c r="P27" s="150"/>
      <c r="Q27" s="84">
        <v>174</v>
      </c>
      <c r="R27" s="48"/>
      <c r="S27" s="62"/>
      <c r="U27" s="62"/>
      <c r="W27" s="160">
        <f t="shared" si="4"/>
        <v>735</v>
      </c>
      <c r="X27" s="105">
        <f t="shared" si="5"/>
        <v>0.35695538057742782</v>
      </c>
      <c r="Y27" s="60">
        <f t="shared" si="8"/>
        <v>3.48</v>
      </c>
    </row>
    <row r="28" spans="1:25" s="5" customFormat="1" x14ac:dyDescent="0.25">
      <c r="A28" s="9" t="s">
        <v>59</v>
      </c>
      <c r="B28" s="170">
        <v>60650</v>
      </c>
      <c r="C28" s="172">
        <v>21580</v>
      </c>
      <c r="D28" s="138">
        <v>13213</v>
      </c>
      <c r="E28" s="173">
        <v>5951</v>
      </c>
      <c r="F28" s="83">
        <v>1256</v>
      </c>
      <c r="G28" s="21">
        <f t="shared" si="0"/>
        <v>6065</v>
      </c>
      <c r="H28" s="82">
        <f>L28*$L$20+N28*$N$20+P28*$P$20+R28*$R$20+S28*$S$20+T28*$T$20+U28*$U$20</f>
        <v>0</v>
      </c>
      <c r="I28" s="81">
        <f t="shared" si="1"/>
        <v>0</v>
      </c>
      <c r="J28" s="18">
        <f t="shared" si="7"/>
        <v>0</v>
      </c>
      <c r="K28" s="146">
        <f t="shared" si="2"/>
        <v>9</v>
      </c>
      <c r="L28" s="83"/>
      <c r="M28" s="147">
        <f t="shared" si="3"/>
        <v>214</v>
      </c>
      <c r="N28" s="148"/>
      <c r="O28" s="147">
        <v>43</v>
      </c>
      <c r="P28" s="149"/>
      <c r="Q28" s="147">
        <f t="shared" ref="Q28:Q36" si="9">ROUND($Q$22/$C$93*C28*$B$90,0)</f>
        <v>927</v>
      </c>
      <c r="R28" s="48"/>
      <c r="S28" s="48"/>
      <c r="U28" s="62"/>
      <c r="W28" s="160">
        <f>K28*$L$20+M28*$N$20+O28*$P$20+Q28*$R$20</f>
        <v>3897.7</v>
      </c>
      <c r="X28" s="105">
        <f t="shared" si="5"/>
        <v>0.35734542456718882</v>
      </c>
      <c r="Y28" s="60">
        <f t="shared" si="8"/>
        <v>18.54</v>
      </c>
    </row>
    <row r="29" spans="1:25" s="5" customFormat="1" x14ac:dyDescent="0.25">
      <c r="A29" s="9" t="s">
        <v>60</v>
      </c>
      <c r="B29" s="170">
        <v>55970</v>
      </c>
      <c r="C29" s="172">
        <v>20018</v>
      </c>
      <c r="D29" s="138">
        <v>12126</v>
      </c>
      <c r="E29" s="173">
        <v>5293</v>
      </c>
      <c r="F29" s="83">
        <v>1231</v>
      </c>
      <c r="G29" s="21">
        <f t="shared" si="0"/>
        <v>5597</v>
      </c>
      <c r="H29" s="82">
        <f t="shared" si="6"/>
        <v>0</v>
      </c>
      <c r="I29" s="81">
        <f t="shared" si="1"/>
        <v>0</v>
      </c>
      <c r="J29" s="18">
        <f t="shared" si="7"/>
        <v>0</v>
      </c>
      <c r="K29" s="146">
        <f t="shared" si="2"/>
        <v>8</v>
      </c>
      <c r="L29" s="83"/>
      <c r="M29" s="147">
        <f t="shared" si="3"/>
        <v>195</v>
      </c>
      <c r="N29" s="148"/>
      <c r="O29" s="147">
        <f t="shared" ref="O29:O36" si="10">ROUND($O$22/($D$93+$E$93)*(D29+E29)*$B$90,0)</f>
        <v>39</v>
      </c>
      <c r="P29" s="149"/>
      <c r="Q29" s="147">
        <f t="shared" si="9"/>
        <v>860</v>
      </c>
      <c r="R29" s="62"/>
      <c r="S29" s="48"/>
      <c r="U29" s="62"/>
      <c r="W29" s="160">
        <f t="shared" si="4"/>
        <v>3600.5</v>
      </c>
      <c r="X29" s="105">
        <f t="shared" si="5"/>
        <v>0.35670895122386992</v>
      </c>
      <c r="Y29" s="60">
        <f t="shared" si="8"/>
        <v>17.2</v>
      </c>
    </row>
    <row r="30" spans="1:25" s="5" customFormat="1" x14ac:dyDescent="0.25">
      <c r="A30" s="9" t="s">
        <v>61</v>
      </c>
      <c r="B30" s="170">
        <v>68570</v>
      </c>
      <c r="C30" s="172">
        <v>24776</v>
      </c>
      <c r="D30" s="138">
        <v>15925</v>
      </c>
      <c r="E30" s="173">
        <v>5083</v>
      </c>
      <c r="F30" s="83">
        <v>1673</v>
      </c>
      <c r="G30" s="21">
        <f t="shared" si="0"/>
        <v>6857</v>
      </c>
      <c r="H30" s="82">
        <f t="shared" si="6"/>
        <v>0</v>
      </c>
      <c r="I30" s="81">
        <f>IF(H30&lt;&gt;0,H30-G30,)</f>
        <v>0</v>
      </c>
      <c r="J30" s="18">
        <f t="shared" si="7"/>
        <v>0</v>
      </c>
      <c r="K30" s="146">
        <f t="shared" si="2"/>
        <v>11</v>
      </c>
      <c r="L30" s="83"/>
      <c r="M30" s="147">
        <f t="shared" si="3"/>
        <v>235</v>
      </c>
      <c r="N30" s="148"/>
      <c r="O30" s="147">
        <f t="shared" si="10"/>
        <v>47</v>
      </c>
      <c r="P30" s="149"/>
      <c r="Q30" s="147">
        <f t="shared" si="9"/>
        <v>1064</v>
      </c>
      <c r="R30" s="48"/>
      <c r="S30" s="48"/>
      <c r="U30" s="62"/>
      <c r="W30" s="160">
        <f t="shared" si="4"/>
        <v>4450.3999999999996</v>
      </c>
      <c r="X30" s="105">
        <f t="shared" si="5"/>
        <v>0.35096981187108073</v>
      </c>
      <c r="Y30" s="60">
        <f t="shared" si="8"/>
        <v>21.28</v>
      </c>
    </row>
    <row r="31" spans="1:25" s="5" customFormat="1" x14ac:dyDescent="0.25">
      <c r="A31" s="41" t="s">
        <v>62</v>
      </c>
      <c r="B31" s="170">
        <v>37800</v>
      </c>
      <c r="C31" s="172">
        <v>13424</v>
      </c>
      <c r="D31" s="138">
        <v>8284</v>
      </c>
      <c r="E31" s="173">
        <v>3922</v>
      </c>
      <c r="F31" s="83">
        <v>757</v>
      </c>
      <c r="G31" s="21">
        <f t="shared" si="0"/>
        <v>3780</v>
      </c>
      <c r="H31" s="82">
        <f t="shared" si="6"/>
        <v>0</v>
      </c>
      <c r="I31" s="81">
        <f t="shared" si="1"/>
        <v>0</v>
      </c>
      <c r="J31" s="18">
        <f t="shared" si="7"/>
        <v>0</v>
      </c>
      <c r="K31" s="146">
        <f t="shared" si="2"/>
        <v>5</v>
      </c>
      <c r="L31" s="83"/>
      <c r="M31" s="147">
        <f t="shared" si="3"/>
        <v>136</v>
      </c>
      <c r="N31" s="148"/>
      <c r="O31" s="147">
        <f t="shared" si="10"/>
        <v>27</v>
      </c>
      <c r="P31" s="149"/>
      <c r="Q31" s="147">
        <f t="shared" si="9"/>
        <v>576</v>
      </c>
      <c r="R31" s="48"/>
      <c r="S31" s="48"/>
      <c r="U31" s="62"/>
      <c r="W31" s="160">
        <f t="shared" si="4"/>
        <v>2422.1</v>
      </c>
      <c r="X31" s="105">
        <f t="shared" si="5"/>
        <v>0.35923280423280424</v>
      </c>
      <c r="Y31" s="60">
        <f t="shared" si="8"/>
        <v>11.52</v>
      </c>
    </row>
    <row r="32" spans="1:25" s="5" customFormat="1" x14ac:dyDescent="0.25">
      <c r="A32" s="9" t="s">
        <v>63</v>
      </c>
      <c r="B32" s="171">
        <v>115760</v>
      </c>
      <c r="C32" s="172">
        <v>41585</v>
      </c>
      <c r="D32" s="138">
        <v>26321</v>
      </c>
      <c r="E32" s="173">
        <v>9223</v>
      </c>
      <c r="F32" s="83">
        <v>3052</v>
      </c>
      <c r="G32" s="21">
        <f t="shared" si="0"/>
        <v>11576</v>
      </c>
      <c r="H32" s="82">
        <f t="shared" si="6"/>
        <v>0</v>
      </c>
      <c r="I32" s="81">
        <f t="shared" si="1"/>
        <v>0</v>
      </c>
      <c r="J32" s="18">
        <f t="shared" si="7"/>
        <v>0</v>
      </c>
      <c r="K32" s="146">
        <f t="shared" si="2"/>
        <v>21</v>
      </c>
      <c r="L32" s="83"/>
      <c r="M32" s="147">
        <f t="shared" si="3"/>
        <v>397</v>
      </c>
      <c r="N32" s="148"/>
      <c r="O32" s="147">
        <f t="shared" si="10"/>
        <v>79</v>
      </c>
      <c r="P32" s="149"/>
      <c r="Q32" s="147">
        <f t="shared" si="9"/>
        <v>1786</v>
      </c>
      <c r="R32" s="48"/>
      <c r="S32" s="48"/>
      <c r="U32" s="62"/>
      <c r="W32" s="160">
        <f t="shared" si="4"/>
        <v>7509.2</v>
      </c>
      <c r="X32" s="105">
        <f t="shared" si="5"/>
        <v>0.35131306150656533</v>
      </c>
      <c r="Y32" s="60">
        <f t="shared" si="8"/>
        <v>35.72</v>
      </c>
    </row>
    <row r="33" spans="1:25" s="5" customFormat="1" x14ac:dyDescent="0.25">
      <c r="A33" s="9" t="s">
        <v>64</v>
      </c>
      <c r="B33" s="170">
        <v>55670</v>
      </c>
      <c r="C33" s="172">
        <v>19888</v>
      </c>
      <c r="D33" s="138">
        <v>12382</v>
      </c>
      <c r="E33" s="173">
        <v>5147</v>
      </c>
      <c r="F33" s="83">
        <v>1277</v>
      </c>
      <c r="G33" s="21">
        <f t="shared" si="0"/>
        <v>5567</v>
      </c>
      <c r="H33" s="82">
        <f t="shared" si="6"/>
        <v>0</v>
      </c>
      <c r="I33" s="81">
        <f t="shared" si="1"/>
        <v>0</v>
      </c>
      <c r="J33" s="18">
        <f t="shared" si="7"/>
        <v>0</v>
      </c>
      <c r="K33" s="146">
        <f t="shared" si="2"/>
        <v>9</v>
      </c>
      <c r="L33" s="83"/>
      <c r="M33" s="147">
        <f t="shared" si="3"/>
        <v>196</v>
      </c>
      <c r="N33" s="148"/>
      <c r="O33" s="147">
        <f t="shared" si="10"/>
        <v>39</v>
      </c>
      <c r="P33" s="149"/>
      <c r="Q33" s="147">
        <f t="shared" si="9"/>
        <v>854</v>
      </c>
      <c r="R33" s="48"/>
      <c r="S33" s="48"/>
      <c r="U33" s="62"/>
      <c r="W33" s="160">
        <f t="shared" si="4"/>
        <v>3595.3</v>
      </c>
      <c r="X33" s="105">
        <f t="shared" si="5"/>
        <v>0.35417639662295669</v>
      </c>
      <c r="Y33" s="60">
        <f t="shared" si="8"/>
        <v>17.080000000000002</v>
      </c>
    </row>
    <row r="34" spans="1:25" s="5" customFormat="1" x14ac:dyDescent="0.25">
      <c r="A34" s="9" t="s">
        <v>65</v>
      </c>
      <c r="B34" s="170">
        <v>70040</v>
      </c>
      <c r="C34" s="172">
        <v>25047</v>
      </c>
      <c r="D34" s="138">
        <v>16019</v>
      </c>
      <c r="E34" s="173">
        <v>6129</v>
      </c>
      <c r="F34" s="83">
        <v>1612</v>
      </c>
      <c r="G34" s="21">
        <f t="shared" si="0"/>
        <v>7004</v>
      </c>
      <c r="H34" s="82">
        <f t="shared" si="6"/>
        <v>0</v>
      </c>
      <c r="I34" s="81">
        <f t="shared" si="1"/>
        <v>0</v>
      </c>
      <c r="J34" s="18">
        <f t="shared" si="7"/>
        <v>0</v>
      </c>
      <c r="K34" s="146">
        <f t="shared" si="2"/>
        <v>11</v>
      </c>
      <c r="L34" s="83"/>
      <c r="M34" s="147">
        <f t="shared" si="3"/>
        <v>247</v>
      </c>
      <c r="N34" s="148"/>
      <c r="O34" s="147">
        <f t="shared" si="10"/>
        <v>49</v>
      </c>
      <c r="P34" s="149"/>
      <c r="Q34" s="147">
        <f t="shared" si="9"/>
        <v>1076</v>
      </c>
      <c r="R34" s="48"/>
      <c r="S34" s="48"/>
      <c r="U34" s="62"/>
      <c r="W34" s="160">
        <f t="shared" si="4"/>
        <v>4525.2</v>
      </c>
      <c r="X34" s="105">
        <f t="shared" si="5"/>
        <v>0.35391205025699601</v>
      </c>
      <c r="Y34" s="60">
        <f t="shared" si="8"/>
        <v>21.52</v>
      </c>
    </row>
    <row r="35" spans="1:25" s="5" customFormat="1" x14ac:dyDescent="0.25">
      <c r="A35" s="9" t="s">
        <v>66</v>
      </c>
      <c r="B35" s="170">
        <v>79410</v>
      </c>
      <c r="C35" s="172">
        <v>28331</v>
      </c>
      <c r="D35" s="138">
        <v>18469</v>
      </c>
      <c r="E35" s="173">
        <v>6400</v>
      </c>
      <c r="F35" s="83">
        <v>1934</v>
      </c>
      <c r="G35" s="21">
        <f t="shared" si="0"/>
        <v>7941</v>
      </c>
      <c r="H35" s="81">
        <f t="shared" si="6"/>
        <v>0</v>
      </c>
      <c r="I35" s="81">
        <f t="shared" si="1"/>
        <v>0</v>
      </c>
      <c r="J35" s="18">
        <f t="shared" si="7"/>
        <v>0</v>
      </c>
      <c r="K35" s="146">
        <f t="shared" si="2"/>
        <v>13</v>
      </c>
      <c r="L35" s="83"/>
      <c r="M35" s="147">
        <f t="shared" si="3"/>
        <v>278</v>
      </c>
      <c r="N35" s="148"/>
      <c r="O35" s="147">
        <f t="shared" si="10"/>
        <v>56</v>
      </c>
      <c r="P35" s="149"/>
      <c r="Q35" s="147">
        <f t="shared" si="9"/>
        <v>1217</v>
      </c>
      <c r="R35" s="62"/>
      <c r="S35" s="62"/>
      <c r="U35" s="62"/>
      <c r="W35" s="161">
        <f t="shared" si="4"/>
        <v>5124.1000000000004</v>
      </c>
      <c r="X35" s="105">
        <f t="shared" si="5"/>
        <v>0.35472862359904289</v>
      </c>
      <c r="Y35" s="60">
        <f t="shared" si="8"/>
        <v>24.34</v>
      </c>
    </row>
    <row r="36" spans="1:25" s="5" customFormat="1" x14ac:dyDescent="0.25">
      <c r="A36" s="9" t="s">
        <v>67</v>
      </c>
      <c r="B36" s="170">
        <v>26670</v>
      </c>
      <c r="C36" s="172">
        <v>9490</v>
      </c>
      <c r="D36" s="138">
        <v>6224</v>
      </c>
      <c r="E36" s="173">
        <v>1977</v>
      </c>
      <c r="F36" s="83">
        <v>736</v>
      </c>
      <c r="G36" s="21">
        <f t="shared" si="0"/>
        <v>2667</v>
      </c>
      <c r="H36" s="82">
        <f t="shared" si="6"/>
        <v>0</v>
      </c>
      <c r="I36" s="81">
        <f t="shared" si="1"/>
        <v>0</v>
      </c>
      <c r="J36" s="18">
        <f t="shared" si="7"/>
        <v>0</v>
      </c>
      <c r="K36" s="146">
        <f t="shared" si="2"/>
        <v>5</v>
      </c>
      <c r="L36" s="83"/>
      <c r="M36" s="147">
        <f t="shared" si="3"/>
        <v>92</v>
      </c>
      <c r="N36" s="148"/>
      <c r="O36" s="147">
        <f t="shared" si="10"/>
        <v>18</v>
      </c>
      <c r="P36" s="149"/>
      <c r="Q36" s="147">
        <f t="shared" si="9"/>
        <v>408</v>
      </c>
      <c r="R36" s="48"/>
      <c r="S36" s="48"/>
      <c r="U36" s="62"/>
      <c r="W36" s="160">
        <f t="shared" si="4"/>
        <v>1720.9</v>
      </c>
      <c r="X36" s="105">
        <f t="shared" si="5"/>
        <v>0.35474315710536181</v>
      </c>
      <c r="Y36" s="60">
        <f t="shared" si="8"/>
        <v>8.16</v>
      </c>
    </row>
    <row r="37" spans="1:25" s="5" customFormat="1" x14ac:dyDescent="0.25">
      <c r="A37" s="9" t="s">
        <v>68</v>
      </c>
      <c r="B37" s="170">
        <v>293960</v>
      </c>
      <c r="C37" s="172">
        <v>304524</v>
      </c>
      <c r="D37" s="138">
        <v>187088</v>
      </c>
      <c r="E37" s="173">
        <v>69650</v>
      </c>
      <c r="F37" s="83">
        <v>21226</v>
      </c>
      <c r="G37" s="21">
        <f t="shared" si="0"/>
        <v>29396</v>
      </c>
      <c r="H37" s="82">
        <f t="shared" si="6"/>
        <v>0</v>
      </c>
      <c r="I37" s="81">
        <f t="shared" si="1"/>
        <v>0</v>
      </c>
      <c r="J37" s="18">
        <f t="shared" si="7"/>
        <v>0</v>
      </c>
      <c r="K37" s="146">
        <f>ROUND($K$22/$F$93*$B$92*F37,0)</f>
        <v>54</v>
      </c>
      <c r="L37" s="83"/>
      <c r="M37" s="147">
        <f>ROUND($M$22/($D$93+$E$93)*(D37+E37)*$B$92,0)</f>
        <v>1075</v>
      </c>
      <c r="N37" s="148"/>
      <c r="O37" s="147">
        <f>ROUND($O$22/($D$93+$E$93)*(D37+E37)*$B$92,0)</f>
        <v>215</v>
      </c>
      <c r="P37" s="149"/>
      <c r="Q37" s="147">
        <f>ROUND($Q$22/$C$93*C37*$B$92,0)</f>
        <v>4904</v>
      </c>
      <c r="R37" s="48"/>
      <c r="S37" s="48"/>
      <c r="U37" s="62"/>
      <c r="W37" s="160">
        <f t="shared" si="4"/>
        <v>20530.699999999997</v>
      </c>
      <c r="X37" s="105">
        <f t="shared" si="5"/>
        <v>0.30158184787045866</v>
      </c>
      <c r="Y37" s="60">
        <f t="shared" si="8"/>
        <v>98.08</v>
      </c>
    </row>
    <row r="38" spans="1:25" s="5" customFormat="1" x14ac:dyDescent="0.25">
      <c r="A38" s="9" t="s">
        <v>69</v>
      </c>
      <c r="B38" s="170">
        <v>154010</v>
      </c>
      <c r="C38" s="172">
        <v>111030</v>
      </c>
      <c r="D38" s="138">
        <v>72118</v>
      </c>
      <c r="E38" s="173">
        <v>17606</v>
      </c>
      <c r="F38" s="83">
        <v>8450</v>
      </c>
      <c r="G38" s="21">
        <f t="shared" si="0"/>
        <v>15401</v>
      </c>
      <c r="H38" s="82">
        <f t="shared" si="6"/>
        <v>0</v>
      </c>
      <c r="I38" s="81">
        <f t="shared" si="1"/>
        <v>0</v>
      </c>
      <c r="J38" s="18">
        <f t="shared" si="7"/>
        <v>0</v>
      </c>
      <c r="K38" s="146">
        <f>ROUND($K$22/$F$93*$B$91*F38,0)</f>
        <v>31</v>
      </c>
      <c r="L38" s="83"/>
      <c r="M38" s="147">
        <f>ROUND($M$22/($D$93+$E$93)*(D38+E38)*$B$91,0)</f>
        <v>546</v>
      </c>
      <c r="N38" s="148"/>
      <c r="O38" s="147">
        <f>ROUND($O$22/($D$93+$E$93)*(D38+E38)*$B$91,0)</f>
        <v>109</v>
      </c>
      <c r="P38" s="149"/>
      <c r="Q38" s="147">
        <f>ROUND($Q$22/$C$93*C38*$B$91,0)</f>
        <v>2598</v>
      </c>
      <c r="R38" s="48"/>
      <c r="S38" s="48"/>
      <c r="U38" s="62"/>
      <c r="W38" s="160">
        <f t="shared" si="4"/>
        <v>10837.699999999999</v>
      </c>
      <c r="X38" s="105">
        <f t="shared" si="5"/>
        <v>0.29629894162716713</v>
      </c>
      <c r="Y38" s="60">
        <f t="shared" si="8"/>
        <v>51.96</v>
      </c>
    </row>
    <row r="39" spans="1:25" s="5" customFormat="1" x14ac:dyDescent="0.25">
      <c r="A39" s="9" t="s">
        <v>70</v>
      </c>
      <c r="B39" s="170">
        <v>30190</v>
      </c>
      <c r="C39" s="172">
        <v>10789</v>
      </c>
      <c r="D39" s="138">
        <v>6787</v>
      </c>
      <c r="E39" s="173">
        <v>2473</v>
      </c>
      <c r="F39" s="83">
        <v>748</v>
      </c>
      <c r="G39" s="21">
        <f t="shared" si="0"/>
        <v>3019</v>
      </c>
      <c r="H39" s="82">
        <f t="shared" si="6"/>
        <v>0</v>
      </c>
      <c r="I39" s="81">
        <f t="shared" si="1"/>
        <v>0</v>
      </c>
      <c r="J39" s="18">
        <f t="shared" si="7"/>
        <v>0</v>
      </c>
      <c r="K39" s="146">
        <f>ROUND($K$22/$F$93*F39,0)</f>
        <v>5</v>
      </c>
      <c r="L39" s="83"/>
      <c r="M39" s="147">
        <f>ROUND($M$22/($D$93+$E$93)*(D39+E39)*$B$90,0)</f>
        <v>103</v>
      </c>
      <c r="N39" s="148"/>
      <c r="O39" s="147">
        <f>ROUND($O$22/($D$93+$E$93)*(D39+E39)*$B$90,0)</f>
        <v>21</v>
      </c>
      <c r="P39" s="149"/>
      <c r="Q39" s="147">
        <f>ROUND($Q$22/$C$93*C39*$B$90,0)</f>
        <v>463</v>
      </c>
      <c r="R39" s="48"/>
      <c r="S39" s="48"/>
      <c r="U39" s="62"/>
      <c r="W39" s="160">
        <f t="shared" si="4"/>
        <v>1942.8</v>
      </c>
      <c r="X39" s="105">
        <f t="shared" si="5"/>
        <v>0.35647565419012922</v>
      </c>
      <c r="Y39" s="60">
        <f t="shared" si="8"/>
        <v>9.26</v>
      </c>
    </row>
    <row r="40" spans="1:25" s="5" customFormat="1" x14ac:dyDescent="0.25">
      <c r="A40" s="9" t="s">
        <v>71</v>
      </c>
      <c r="B40" s="170">
        <v>126880</v>
      </c>
      <c r="C40" s="172">
        <v>45425</v>
      </c>
      <c r="D40" s="138">
        <v>28243</v>
      </c>
      <c r="E40" s="173">
        <v>11028</v>
      </c>
      <c r="F40" s="83">
        <v>3330</v>
      </c>
      <c r="G40" s="21">
        <f t="shared" si="0"/>
        <v>12688</v>
      </c>
      <c r="H40" s="82">
        <f t="shared" si="6"/>
        <v>0</v>
      </c>
      <c r="I40" s="81">
        <f t="shared" si="1"/>
        <v>0</v>
      </c>
      <c r="J40" s="18">
        <f>IF(H40&lt;&gt;0,(H40-G40)/G40,)</f>
        <v>0</v>
      </c>
      <c r="K40" s="146">
        <f>ROUND($K$22/$F$93*F40,0)</f>
        <v>23</v>
      </c>
      <c r="L40" s="83"/>
      <c r="M40" s="147">
        <f>ROUND($M$22/($D$93+$E$93)*(D40+E40)*$B$90,0)</f>
        <v>439</v>
      </c>
      <c r="N40" s="148"/>
      <c r="O40" s="147">
        <f>ROUND($O$22/($D$93+$E$93)*(D40+E40)*$B$90,0)</f>
        <v>88</v>
      </c>
      <c r="P40" s="149"/>
      <c r="Q40" s="147">
        <f>ROUND($Q$22/$C$93*C40*$B$90,0)</f>
        <v>1951</v>
      </c>
      <c r="R40" s="48"/>
      <c r="S40" s="48"/>
      <c r="U40" s="62"/>
      <c r="W40" s="160">
        <f t="shared" si="4"/>
        <v>8221.4</v>
      </c>
      <c r="X40" s="105">
        <f t="shared" si="5"/>
        <v>0.3520334174022699</v>
      </c>
      <c r="Y40" s="60">
        <f t="shared" si="8"/>
        <v>39.020000000000003</v>
      </c>
    </row>
    <row r="41" spans="1:25" s="5" customFormat="1" x14ac:dyDescent="0.25">
      <c r="A41" s="9" t="s">
        <v>72</v>
      </c>
      <c r="B41" s="170">
        <v>67110</v>
      </c>
      <c r="C41" s="172">
        <v>23826</v>
      </c>
      <c r="D41" s="138">
        <v>14723</v>
      </c>
      <c r="E41" s="173">
        <v>6362</v>
      </c>
      <c r="F41" s="83">
        <v>1588</v>
      </c>
      <c r="G41" s="21">
        <f t="shared" si="0"/>
        <v>6711</v>
      </c>
      <c r="H41" s="82">
        <f t="shared" si="6"/>
        <v>0</v>
      </c>
      <c r="I41" s="81">
        <f t="shared" si="1"/>
        <v>0</v>
      </c>
      <c r="J41" s="18">
        <f t="shared" si="7"/>
        <v>0</v>
      </c>
      <c r="K41" s="146">
        <v>11</v>
      </c>
      <c r="L41" s="83"/>
      <c r="M41" s="147">
        <f>ROUND($M$22/($D$93+$E$93)*(D41+E41)*$B$90,0)</f>
        <v>235</v>
      </c>
      <c r="N41" s="148"/>
      <c r="O41" s="147">
        <f>ROUND($O$22/($D$93+$E$93)*(D41+E41)*$B$90,0)</f>
        <v>47</v>
      </c>
      <c r="P41" s="149"/>
      <c r="Q41" s="147">
        <f>ROUND($Q$22/$C$93*C41*$B$90,0)</f>
        <v>1023</v>
      </c>
      <c r="R41" s="48"/>
      <c r="S41" s="48"/>
      <c r="U41" s="62"/>
      <c r="W41" s="160">
        <f t="shared" si="4"/>
        <v>4311</v>
      </c>
      <c r="X41" s="105">
        <f t="shared" si="5"/>
        <v>0.35762181493071077</v>
      </c>
      <c r="Y41" s="60">
        <f t="shared" si="8"/>
        <v>20.46</v>
      </c>
    </row>
    <row r="42" spans="1:25" s="5" customFormat="1" x14ac:dyDescent="0.25">
      <c r="A42" s="129" t="s">
        <v>73</v>
      </c>
      <c r="B42" s="170">
        <v>226290</v>
      </c>
      <c r="C42" s="172">
        <v>161205</v>
      </c>
      <c r="D42" s="138">
        <v>99255</v>
      </c>
      <c r="E42" s="173">
        <v>35186</v>
      </c>
      <c r="F42" s="83">
        <v>12737</v>
      </c>
      <c r="G42" s="21">
        <f t="shared" si="0"/>
        <v>22629</v>
      </c>
      <c r="H42" s="99">
        <f t="shared" si="6"/>
        <v>0</v>
      </c>
      <c r="I42" s="21">
        <f t="shared" si="1"/>
        <v>0</v>
      </c>
      <c r="J42" s="18">
        <f t="shared" si="7"/>
        <v>0</v>
      </c>
      <c r="K42" s="146">
        <f>ROUND($K$22/$F$93*$B$91*F42,0)</f>
        <v>47</v>
      </c>
      <c r="L42" s="83"/>
      <c r="M42" s="147">
        <f>ROUND($M$22/($D$93+$E$93)*(D42+E42)*$B$91,0)</f>
        <v>818</v>
      </c>
      <c r="N42" s="148"/>
      <c r="O42" s="147">
        <f>ROUND($O$22/($D$93+$E$93)*(D42+E42)*$B$91,0)</f>
        <v>164</v>
      </c>
      <c r="P42" s="149"/>
      <c r="Q42" s="147">
        <f>ROUND($Q$22/$C$93*C42*$B$91,0)</f>
        <v>3773</v>
      </c>
      <c r="R42" s="124"/>
      <c r="S42" s="48"/>
      <c r="U42" s="62"/>
      <c r="W42" s="160">
        <f t="shared" si="4"/>
        <v>15840.699999999999</v>
      </c>
      <c r="X42" s="130">
        <f t="shared" si="5"/>
        <v>0.29998232356710419</v>
      </c>
      <c r="Y42" s="60">
        <f t="shared" si="8"/>
        <v>75.460000000000008</v>
      </c>
    </row>
    <row r="43" spans="1:25" s="5" customFormat="1" x14ac:dyDescent="0.25">
      <c r="A43" s="9" t="s">
        <v>74</v>
      </c>
      <c r="B43" s="170">
        <v>185460</v>
      </c>
      <c r="C43" s="172">
        <v>70523</v>
      </c>
      <c r="D43" s="138">
        <v>45955</v>
      </c>
      <c r="E43" s="173">
        <v>10410</v>
      </c>
      <c r="F43" s="83">
        <v>5349</v>
      </c>
      <c r="G43" s="21">
        <f t="shared" si="0"/>
        <v>18546</v>
      </c>
      <c r="H43" s="82">
        <f t="shared" si="6"/>
        <v>0</v>
      </c>
      <c r="I43" s="81">
        <f t="shared" si="1"/>
        <v>0</v>
      </c>
      <c r="J43" s="18">
        <f t="shared" si="7"/>
        <v>0</v>
      </c>
      <c r="K43" s="146">
        <f>ROUND($K$22/$F$93*F43,0)</f>
        <v>36</v>
      </c>
      <c r="L43" s="83"/>
      <c r="M43" s="147">
        <f t="shared" ref="M43:M65" si="11">ROUND($M$22/($D$93+$E$93)*(D43+E43)*$B$90,0)</f>
        <v>629</v>
      </c>
      <c r="N43" s="148"/>
      <c r="O43" s="147">
        <f t="shared" ref="O43:O65" si="12">ROUND($O$22/($D$93+$E$93)*(D43+E43)*$B$90,0)</f>
        <v>126</v>
      </c>
      <c r="P43" s="149"/>
      <c r="Q43" s="147">
        <f t="shared" ref="Q43:Q65" si="13">ROUND($Q$22/$C$93*C43*$B$90,0)</f>
        <v>3028</v>
      </c>
      <c r="R43" s="48"/>
      <c r="S43" s="48"/>
      <c r="U43" s="62"/>
      <c r="W43" s="160">
        <f t="shared" si="4"/>
        <v>12609.5</v>
      </c>
      <c r="X43" s="105">
        <f t="shared" si="5"/>
        <v>0.3200959775692872</v>
      </c>
      <c r="Y43" s="60">
        <f t="shared" si="8"/>
        <v>60.56</v>
      </c>
    </row>
    <row r="44" spans="1:25" s="5" customFormat="1" x14ac:dyDescent="0.25">
      <c r="A44" s="9" t="s">
        <v>75</v>
      </c>
      <c r="B44" s="170">
        <v>104330</v>
      </c>
      <c r="C44" s="172">
        <v>37334</v>
      </c>
      <c r="D44" s="138">
        <v>23274</v>
      </c>
      <c r="E44" s="173">
        <v>8200</v>
      </c>
      <c r="F44" s="83">
        <v>2851</v>
      </c>
      <c r="G44" s="21">
        <f t="shared" si="0"/>
        <v>10433</v>
      </c>
      <c r="H44" s="82">
        <f t="shared" si="6"/>
        <v>0</v>
      </c>
      <c r="I44" s="81">
        <f t="shared" si="1"/>
        <v>0</v>
      </c>
      <c r="J44" s="18">
        <f t="shared" si="7"/>
        <v>0</v>
      </c>
      <c r="K44" s="146">
        <v>19</v>
      </c>
      <c r="L44" s="83"/>
      <c r="M44" s="147">
        <f t="shared" si="11"/>
        <v>351</v>
      </c>
      <c r="N44" s="148"/>
      <c r="O44" s="147">
        <f t="shared" si="12"/>
        <v>70</v>
      </c>
      <c r="P44" s="149"/>
      <c r="Q44" s="147">
        <f t="shared" si="13"/>
        <v>1603</v>
      </c>
      <c r="R44" s="48"/>
      <c r="S44" s="48"/>
      <c r="U44" s="62"/>
      <c r="W44" s="160">
        <f t="shared" si="4"/>
        <v>6726.5999999999995</v>
      </c>
      <c r="X44" s="105">
        <f t="shared" si="5"/>
        <v>0.35525735646506285</v>
      </c>
      <c r="Y44" s="60">
        <f t="shared" si="8"/>
        <v>32.06</v>
      </c>
    </row>
    <row r="45" spans="1:25" s="5" customFormat="1" x14ac:dyDescent="0.25">
      <c r="A45" s="9" t="s">
        <v>76</v>
      </c>
      <c r="B45" s="170">
        <v>43080</v>
      </c>
      <c r="C45" s="172">
        <v>15366</v>
      </c>
      <c r="D45" s="138">
        <v>9549</v>
      </c>
      <c r="E45" s="173">
        <v>4108</v>
      </c>
      <c r="F45" s="83">
        <v>948</v>
      </c>
      <c r="G45" s="21">
        <f t="shared" si="0"/>
        <v>4308</v>
      </c>
      <c r="H45" s="82">
        <f t="shared" si="6"/>
        <v>0</v>
      </c>
      <c r="I45" s="81">
        <f t="shared" si="1"/>
        <v>0</v>
      </c>
      <c r="J45" s="18">
        <f t="shared" si="7"/>
        <v>0</v>
      </c>
      <c r="K45" s="146">
        <f t="shared" ref="K45:K78" si="14">ROUND($K$22/$F$93*F45,0)</f>
        <v>6</v>
      </c>
      <c r="L45" s="83"/>
      <c r="M45" s="147">
        <f t="shared" si="11"/>
        <v>153</v>
      </c>
      <c r="N45" s="148"/>
      <c r="O45" s="147">
        <f t="shared" si="12"/>
        <v>31</v>
      </c>
      <c r="P45" s="149"/>
      <c r="Q45" s="147">
        <f t="shared" si="13"/>
        <v>660</v>
      </c>
      <c r="R45" s="48"/>
      <c r="S45" s="62"/>
      <c r="U45" s="62"/>
      <c r="W45" s="160">
        <f t="shared" si="4"/>
        <v>2772.5</v>
      </c>
      <c r="X45" s="105">
        <f t="shared" si="5"/>
        <v>0.35642989786443824</v>
      </c>
      <c r="Y45" s="60">
        <f t="shared" si="8"/>
        <v>13.200000000000001</v>
      </c>
    </row>
    <row r="46" spans="1:25" s="5" customFormat="1" x14ac:dyDescent="0.25">
      <c r="A46" s="9" t="s">
        <v>77</v>
      </c>
      <c r="B46" s="170">
        <v>47180</v>
      </c>
      <c r="C46" s="172">
        <v>16791</v>
      </c>
      <c r="D46" s="138">
        <v>10715</v>
      </c>
      <c r="E46" s="173">
        <v>4238</v>
      </c>
      <c r="F46" s="83">
        <v>1140</v>
      </c>
      <c r="G46" s="21">
        <f t="shared" si="0"/>
        <v>4718</v>
      </c>
      <c r="H46" s="82">
        <f t="shared" si="6"/>
        <v>0</v>
      </c>
      <c r="I46" s="81">
        <f t="shared" si="1"/>
        <v>0</v>
      </c>
      <c r="J46" s="18">
        <f t="shared" si="7"/>
        <v>0</v>
      </c>
      <c r="K46" s="146">
        <f t="shared" si="14"/>
        <v>8</v>
      </c>
      <c r="L46" s="83"/>
      <c r="M46" s="147">
        <f t="shared" si="11"/>
        <v>167</v>
      </c>
      <c r="N46" s="148"/>
      <c r="O46" s="147">
        <f t="shared" si="12"/>
        <v>33</v>
      </c>
      <c r="P46" s="149"/>
      <c r="Q46" s="147">
        <f t="shared" si="13"/>
        <v>721</v>
      </c>
      <c r="R46" s="48"/>
      <c r="S46" s="48"/>
      <c r="U46" s="62"/>
      <c r="W46" s="160">
        <f t="shared" si="4"/>
        <v>3044.3</v>
      </c>
      <c r="X46" s="105">
        <f t="shared" si="5"/>
        <v>0.35474777448071215</v>
      </c>
      <c r="Y46" s="60">
        <f t="shared" si="8"/>
        <v>14.42</v>
      </c>
    </row>
    <row r="47" spans="1:25" s="5" customFormat="1" x14ac:dyDescent="0.25">
      <c r="A47" s="9" t="s">
        <v>78</v>
      </c>
      <c r="B47" s="170">
        <v>145160</v>
      </c>
      <c r="C47" s="172">
        <v>53906</v>
      </c>
      <c r="D47" s="138">
        <v>34310</v>
      </c>
      <c r="E47" s="173">
        <v>12006</v>
      </c>
      <c r="F47" s="83">
        <v>3917</v>
      </c>
      <c r="G47" s="21">
        <f t="shared" si="0"/>
        <v>14516</v>
      </c>
      <c r="H47" s="82">
        <f t="shared" si="6"/>
        <v>0</v>
      </c>
      <c r="I47" s="81">
        <f t="shared" si="1"/>
        <v>0</v>
      </c>
      <c r="J47" s="18">
        <f t="shared" si="7"/>
        <v>0</v>
      </c>
      <c r="K47" s="146">
        <f t="shared" si="14"/>
        <v>27</v>
      </c>
      <c r="L47" s="83"/>
      <c r="M47" s="147">
        <f t="shared" si="11"/>
        <v>517</v>
      </c>
      <c r="N47" s="148"/>
      <c r="O47" s="147">
        <f t="shared" si="12"/>
        <v>103</v>
      </c>
      <c r="P47" s="149"/>
      <c r="Q47" s="147">
        <f t="shared" si="13"/>
        <v>2315</v>
      </c>
      <c r="R47" s="62"/>
      <c r="S47" s="48"/>
      <c r="U47" s="62"/>
      <c r="W47" s="160">
        <f t="shared" si="4"/>
        <v>9738</v>
      </c>
      <c r="X47" s="105">
        <f t="shared" si="5"/>
        <v>0.32915403692477269</v>
      </c>
      <c r="Y47" s="60">
        <f t="shared" si="8"/>
        <v>46.300000000000004</v>
      </c>
    </row>
    <row r="48" spans="1:25" s="5" customFormat="1" x14ac:dyDescent="0.25">
      <c r="A48" s="9" t="s">
        <v>79</v>
      </c>
      <c r="B48" s="170">
        <v>138120</v>
      </c>
      <c r="C48" s="172">
        <v>51453</v>
      </c>
      <c r="D48" s="138">
        <v>32634</v>
      </c>
      <c r="E48" s="173">
        <v>11201</v>
      </c>
      <c r="F48" s="83">
        <v>4025</v>
      </c>
      <c r="G48" s="21">
        <f t="shared" si="0"/>
        <v>13812</v>
      </c>
      <c r="H48" s="82">
        <f t="shared" si="6"/>
        <v>0</v>
      </c>
      <c r="I48" s="81">
        <f t="shared" si="1"/>
        <v>0</v>
      </c>
      <c r="J48" s="18">
        <f t="shared" si="7"/>
        <v>0</v>
      </c>
      <c r="K48" s="146">
        <f t="shared" si="14"/>
        <v>27</v>
      </c>
      <c r="L48" s="83"/>
      <c r="M48" s="147">
        <f t="shared" si="11"/>
        <v>490</v>
      </c>
      <c r="N48" s="148"/>
      <c r="O48" s="147">
        <f t="shared" si="12"/>
        <v>98</v>
      </c>
      <c r="P48" s="149"/>
      <c r="Q48" s="147">
        <f t="shared" si="13"/>
        <v>2209</v>
      </c>
      <c r="R48" s="48"/>
      <c r="S48" s="48"/>
      <c r="U48" s="62"/>
      <c r="W48" s="160">
        <f t="shared" si="4"/>
        <v>9299.5</v>
      </c>
      <c r="X48" s="105">
        <f t="shared" si="5"/>
        <v>0.32670865913698233</v>
      </c>
      <c r="Y48" s="60">
        <f t="shared" si="8"/>
        <v>44.18</v>
      </c>
    </row>
    <row r="49" spans="1:25" s="5" customFormat="1" x14ac:dyDescent="0.25">
      <c r="A49" s="9" t="s">
        <v>80</v>
      </c>
      <c r="B49" s="170">
        <v>45430</v>
      </c>
      <c r="C49" s="172">
        <v>16187</v>
      </c>
      <c r="D49" s="138">
        <v>10323</v>
      </c>
      <c r="E49" s="173">
        <v>4133</v>
      </c>
      <c r="F49" s="83">
        <v>940</v>
      </c>
      <c r="G49" s="21">
        <f t="shared" si="0"/>
        <v>4543</v>
      </c>
      <c r="H49" s="82">
        <f t="shared" si="6"/>
        <v>0</v>
      </c>
      <c r="I49" s="81">
        <f t="shared" si="1"/>
        <v>0</v>
      </c>
      <c r="J49" s="18">
        <f>IF(H49&lt;&gt;0,(H49-G49)/G49,)</f>
        <v>0</v>
      </c>
      <c r="K49" s="146">
        <f t="shared" si="14"/>
        <v>6</v>
      </c>
      <c r="L49" s="83"/>
      <c r="M49" s="147">
        <f t="shared" si="11"/>
        <v>161</v>
      </c>
      <c r="N49" s="148"/>
      <c r="O49" s="147">
        <f t="shared" si="12"/>
        <v>32</v>
      </c>
      <c r="P49" s="149"/>
      <c r="Q49" s="147">
        <f t="shared" si="13"/>
        <v>695</v>
      </c>
      <c r="R49" s="48"/>
      <c r="S49" s="48"/>
      <c r="U49" s="62"/>
      <c r="W49" s="160">
        <f t="shared" si="4"/>
        <v>2913.1</v>
      </c>
      <c r="X49" s="105">
        <f t="shared" si="5"/>
        <v>0.35877173673783846</v>
      </c>
      <c r="Y49" s="60">
        <f t="shared" si="8"/>
        <v>13.9</v>
      </c>
    </row>
    <row r="50" spans="1:25" s="5" customFormat="1" x14ac:dyDescent="0.25">
      <c r="A50" s="9" t="s">
        <v>81</v>
      </c>
      <c r="B50" s="170">
        <v>12310</v>
      </c>
      <c r="C50" s="172">
        <v>4712</v>
      </c>
      <c r="D50" s="138">
        <v>3209</v>
      </c>
      <c r="E50" s="173">
        <v>826</v>
      </c>
      <c r="F50" s="83">
        <v>229</v>
      </c>
      <c r="G50" s="21">
        <f t="shared" si="0"/>
        <v>1231</v>
      </c>
      <c r="H50" s="82">
        <f>L50*$L$20+N50*$N$20+P50*$P$20+R50*$R$20+S50*$S$20+T50*$T$20+U50*$U$20</f>
        <v>0</v>
      </c>
      <c r="I50" s="81">
        <f t="shared" si="1"/>
        <v>0</v>
      </c>
      <c r="J50" s="18">
        <f t="shared" si="7"/>
        <v>0</v>
      </c>
      <c r="K50" s="146">
        <f t="shared" si="14"/>
        <v>2</v>
      </c>
      <c r="L50" s="83"/>
      <c r="M50" s="147">
        <f t="shared" si="11"/>
        <v>45</v>
      </c>
      <c r="N50" s="148"/>
      <c r="O50" s="147">
        <f t="shared" si="12"/>
        <v>9</v>
      </c>
      <c r="P50" s="150"/>
      <c r="Q50" s="147">
        <f t="shared" si="13"/>
        <v>202</v>
      </c>
      <c r="R50" s="48"/>
      <c r="S50" s="62"/>
      <c r="U50" s="62"/>
      <c r="W50" s="160">
        <f t="shared" si="4"/>
        <v>844.9</v>
      </c>
      <c r="X50" s="105">
        <f t="shared" si="5"/>
        <v>0.31364744110479287</v>
      </c>
      <c r="Y50" s="60">
        <f t="shared" si="8"/>
        <v>4.04</v>
      </c>
    </row>
    <row r="51" spans="1:25" s="5" customFormat="1" x14ac:dyDescent="0.25">
      <c r="A51" s="9" t="s">
        <v>82</v>
      </c>
      <c r="B51" s="170">
        <v>19350</v>
      </c>
      <c r="C51" s="172">
        <v>6894</v>
      </c>
      <c r="D51" s="138">
        <v>4368</v>
      </c>
      <c r="E51" s="173">
        <v>1612</v>
      </c>
      <c r="F51" s="83">
        <v>496</v>
      </c>
      <c r="G51" s="21">
        <f t="shared" si="0"/>
        <v>1935</v>
      </c>
      <c r="H51" s="82">
        <f>L51*$L$20+N51*$N$20+P51*$P$20+R51*$R$20+S51*$S$20+T51*$T$20+U51*$U$20</f>
        <v>0</v>
      </c>
      <c r="I51" s="81">
        <f t="shared" si="1"/>
        <v>0</v>
      </c>
      <c r="J51" s="18">
        <f t="shared" si="7"/>
        <v>0</v>
      </c>
      <c r="K51" s="146">
        <f t="shared" si="14"/>
        <v>3</v>
      </c>
      <c r="L51" s="83"/>
      <c r="M51" s="147">
        <f t="shared" si="11"/>
        <v>67</v>
      </c>
      <c r="N51" s="148"/>
      <c r="O51" s="147">
        <f t="shared" si="12"/>
        <v>13</v>
      </c>
      <c r="P51" s="150"/>
      <c r="Q51" s="147">
        <f t="shared" si="13"/>
        <v>296</v>
      </c>
      <c r="R51" s="48"/>
      <c r="S51" s="62"/>
      <c r="U51" s="62"/>
      <c r="W51" s="160">
        <f t="shared" si="4"/>
        <v>1240.8</v>
      </c>
      <c r="X51" s="105">
        <f t="shared" si="5"/>
        <v>0.35875968992248064</v>
      </c>
      <c r="Y51" s="60">
        <f t="shared" si="8"/>
        <v>5.92</v>
      </c>
    </row>
    <row r="52" spans="1:25" s="5" customFormat="1" x14ac:dyDescent="0.25">
      <c r="A52" s="121" t="s">
        <v>83</v>
      </c>
      <c r="B52" s="170">
        <v>48940</v>
      </c>
      <c r="C52" s="172">
        <v>17477</v>
      </c>
      <c r="D52" s="139">
        <v>11047</v>
      </c>
      <c r="E52" s="173">
        <v>4358</v>
      </c>
      <c r="F52" s="144">
        <v>1130</v>
      </c>
      <c r="G52" s="122">
        <f t="shared" si="0"/>
        <v>4894</v>
      </c>
      <c r="H52" s="116">
        <f>L52*$L$20+N52*$N$20+P52*$P$20+R52*$R$20+S52*$S$20+T52*$T$20+U52*$U$20</f>
        <v>0</v>
      </c>
      <c r="I52" s="116">
        <f t="shared" si="1"/>
        <v>0</v>
      </c>
      <c r="J52" s="163">
        <f t="shared" si="7"/>
        <v>0</v>
      </c>
      <c r="K52" s="151">
        <f t="shared" si="14"/>
        <v>8</v>
      </c>
      <c r="L52" s="144"/>
      <c r="M52" s="152">
        <f t="shared" si="11"/>
        <v>172</v>
      </c>
      <c r="N52" s="153"/>
      <c r="O52" s="152">
        <f t="shared" si="12"/>
        <v>34</v>
      </c>
      <c r="P52" s="154"/>
      <c r="Q52" s="152">
        <f t="shared" si="13"/>
        <v>750</v>
      </c>
      <c r="R52" s="118"/>
      <c r="S52" s="118"/>
      <c r="T52" s="115"/>
      <c r="U52" s="119"/>
      <c r="V52" s="115"/>
      <c r="W52" s="162">
        <f t="shared" si="4"/>
        <v>3157.6</v>
      </c>
      <c r="X52" s="120">
        <f t="shared" si="5"/>
        <v>0.35480179812014712</v>
      </c>
      <c r="Y52" s="60">
        <f t="shared" si="8"/>
        <v>15</v>
      </c>
    </row>
    <row r="53" spans="1:25" s="5" customFormat="1" x14ac:dyDescent="0.25">
      <c r="A53" s="9" t="s">
        <v>84</v>
      </c>
      <c r="B53" s="170">
        <v>51580</v>
      </c>
      <c r="C53" s="172">
        <v>18835</v>
      </c>
      <c r="D53" s="139">
        <v>11062</v>
      </c>
      <c r="E53" s="173">
        <v>5031</v>
      </c>
      <c r="F53" s="144">
        <v>1261</v>
      </c>
      <c r="G53" s="122">
        <f t="shared" si="0"/>
        <v>5158</v>
      </c>
      <c r="H53" s="123">
        <f t="shared" si="6"/>
        <v>0</v>
      </c>
      <c r="I53" s="122">
        <f t="shared" si="1"/>
        <v>0</v>
      </c>
      <c r="J53" s="117">
        <f t="shared" si="7"/>
        <v>0</v>
      </c>
      <c r="K53" s="151">
        <f t="shared" si="14"/>
        <v>9</v>
      </c>
      <c r="L53" s="144"/>
      <c r="M53" s="152">
        <f t="shared" si="11"/>
        <v>180</v>
      </c>
      <c r="N53" s="153"/>
      <c r="O53" s="152">
        <f t="shared" si="12"/>
        <v>36</v>
      </c>
      <c r="P53" s="154"/>
      <c r="Q53" s="152">
        <f t="shared" si="13"/>
        <v>809</v>
      </c>
      <c r="R53" s="118"/>
      <c r="S53" s="118"/>
      <c r="T53" s="115"/>
      <c r="U53" s="119"/>
      <c r="W53" s="160">
        <f t="shared" si="4"/>
        <v>3395.8999999999996</v>
      </c>
      <c r="X53" s="105">
        <f t="shared" si="5"/>
        <v>0.34162466072120984</v>
      </c>
      <c r="Y53" s="60">
        <f t="shared" si="8"/>
        <v>16.18</v>
      </c>
    </row>
    <row r="54" spans="1:25" s="5" customFormat="1" x14ac:dyDescent="0.25">
      <c r="A54" s="9" t="s">
        <v>85</v>
      </c>
      <c r="B54" s="170">
        <v>229720</v>
      </c>
      <c r="C54" s="172">
        <v>85283</v>
      </c>
      <c r="D54" s="138">
        <v>51683</v>
      </c>
      <c r="E54" s="173">
        <v>22930</v>
      </c>
      <c r="F54" s="83">
        <v>5602</v>
      </c>
      <c r="G54" s="21">
        <f t="shared" si="0"/>
        <v>22972</v>
      </c>
      <c r="H54" s="82">
        <f t="shared" si="6"/>
        <v>0</v>
      </c>
      <c r="I54" s="81">
        <f t="shared" si="1"/>
        <v>0</v>
      </c>
      <c r="J54" s="18">
        <f t="shared" si="7"/>
        <v>0</v>
      </c>
      <c r="K54" s="146">
        <f t="shared" si="14"/>
        <v>38</v>
      </c>
      <c r="L54" s="83"/>
      <c r="M54" s="147">
        <f t="shared" si="11"/>
        <v>833</v>
      </c>
      <c r="N54" s="148"/>
      <c r="O54" s="147">
        <f t="shared" si="12"/>
        <v>167</v>
      </c>
      <c r="P54" s="149"/>
      <c r="Q54" s="147">
        <f t="shared" si="13"/>
        <v>3662</v>
      </c>
      <c r="R54" s="62"/>
      <c r="S54" s="48"/>
      <c r="U54" s="61"/>
      <c r="W54" s="160">
        <f t="shared" si="4"/>
        <v>15391.3</v>
      </c>
      <c r="X54" s="105">
        <f t="shared" si="5"/>
        <v>0.32999738812467355</v>
      </c>
      <c r="Y54" s="60">
        <f t="shared" si="8"/>
        <v>73.239999999999995</v>
      </c>
    </row>
    <row r="55" spans="1:25" s="5" customFormat="1" x14ac:dyDescent="0.25">
      <c r="A55" s="9" t="s">
        <v>86</v>
      </c>
      <c r="B55" s="170">
        <v>98470</v>
      </c>
      <c r="C55" s="172">
        <v>35422</v>
      </c>
      <c r="D55" s="138">
        <v>22539</v>
      </c>
      <c r="E55" s="173">
        <v>7522</v>
      </c>
      <c r="F55" s="83">
        <v>2626</v>
      </c>
      <c r="G55" s="21">
        <f t="shared" ref="G55:G82" si="15">B55/10</f>
        <v>9847</v>
      </c>
      <c r="H55" s="82">
        <f t="shared" si="6"/>
        <v>0</v>
      </c>
      <c r="I55" s="81">
        <f t="shared" ref="I55:I82" si="16">IF(H55&lt;&gt;0,H55-G55,)</f>
        <v>0</v>
      </c>
      <c r="J55" s="18">
        <f>IF(H55&lt;&gt;0,(H55-G55)/G55,)</f>
        <v>0</v>
      </c>
      <c r="K55" s="146">
        <f t="shared" si="14"/>
        <v>18</v>
      </c>
      <c r="L55" s="83"/>
      <c r="M55" s="147">
        <f t="shared" si="11"/>
        <v>336</v>
      </c>
      <c r="N55" s="148"/>
      <c r="O55" s="147">
        <f t="shared" si="12"/>
        <v>67</v>
      </c>
      <c r="P55" s="149"/>
      <c r="Q55" s="147">
        <f t="shared" si="13"/>
        <v>1521</v>
      </c>
      <c r="R55" s="48"/>
      <c r="S55" s="48"/>
      <c r="U55" s="62"/>
      <c r="W55" s="160">
        <f t="shared" ref="W55:W82" si="17">K55*$L$20+M55*$N$20+O55*$P$20+Q55*$R$20</f>
        <v>6390.7999999999993</v>
      </c>
      <c r="X55" s="105">
        <f t="shared" ref="X55:X82" si="18">(G55-W55)/G55</f>
        <v>0.35099014928404598</v>
      </c>
      <c r="Y55" s="60">
        <f t="shared" si="8"/>
        <v>30.42</v>
      </c>
    </row>
    <row r="56" spans="1:25" s="5" customFormat="1" x14ac:dyDescent="0.25">
      <c r="A56" s="9" t="s">
        <v>87</v>
      </c>
      <c r="B56" s="170">
        <v>60370</v>
      </c>
      <c r="C56" s="172">
        <v>21523</v>
      </c>
      <c r="D56" s="138">
        <v>13519</v>
      </c>
      <c r="E56" s="173">
        <v>5290</v>
      </c>
      <c r="F56" s="83">
        <v>1520</v>
      </c>
      <c r="G56" s="21">
        <f t="shared" si="15"/>
        <v>6037</v>
      </c>
      <c r="H56" s="82">
        <f>L56*$L$20+N56*$N$20+P56*$P$20+R56*$R$20+S56*$S$20+T56*$T$20+U56*$U$20</f>
        <v>0</v>
      </c>
      <c r="I56" s="81">
        <f t="shared" si="16"/>
        <v>0</v>
      </c>
      <c r="J56" s="18">
        <f t="shared" ref="J56:J82" si="19">IF(H56&lt;&gt;0,(H56-G56)/G56,)</f>
        <v>0</v>
      </c>
      <c r="K56" s="146">
        <f t="shared" si="14"/>
        <v>10</v>
      </c>
      <c r="L56" s="83"/>
      <c r="M56" s="147">
        <f t="shared" si="11"/>
        <v>210</v>
      </c>
      <c r="N56" s="148"/>
      <c r="O56" s="147">
        <f t="shared" si="12"/>
        <v>42</v>
      </c>
      <c r="P56" s="149"/>
      <c r="Q56" s="147">
        <f t="shared" si="13"/>
        <v>924</v>
      </c>
      <c r="R56" s="62"/>
      <c r="S56" s="48"/>
      <c r="U56" s="62"/>
      <c r="W56" s="160">
        <f t="shared" si="17"/>
        <v>3888</v>
      </c>
      <c r="X56" s="105">
        <f t="shared" si="18"/>
        <v>0.35597150902766272</v>
      </c>
      <c r="Y56" s="60">
        <f t="shared" si="8"/>
        <v>18.48</v>
      </c>
    </row>
    <row r="57" spans="1:25" s="5" customFormat="1" x14ac:dyDescent="0.25">
      <c r="A57" s="9" t="s">
        <v>88</v>
      </c>
      <c r="B57" s="170">
        <v>91140</v>
      </c>
      <c r="C57" s="172">
        <v>32689</v>
      </c>
      <c r="D57" s="138">
        <v>20625</v>
      </c>
      <c r="E57" s="173">
        <v>7299</v>
      </c>
      <c r="F57" s="83">
        <v>2449</v>
      </c>
      <c r="G57" s="21">
        <f t="shared" si="15"/>
        <v>9114</v>
      </c>
      <c r="H57" s="82">
        <f>L57*$L$20+N57*$N$20+P57*$P$20+R57*$R$20+S57*$S$20+T57*$T$20+U57*$U$20</f>
        <v>0</v>
      </c>
      <c r="I57" s="81">
        <f t="shared" si="16"/>
        <v>0</v>
      </c>
      <c r="J57" s="18">
        <f t="shared" si="19"/>
        <v>0</v>
      </c>
      <c r="K57" s="146">
        <f t="shared" si="14"/>
        <v>17</v>
      </c>
      <c r="L57" s="83"/>
      <c r="M57" s="147">
        <f t="shared" si="11"/>
        <v>312</v>
      </c>
      <c r="N57" s="148"/>
      <c r="O57" s="147">
        <f t="shared" si="12"/>
        <v>62</v>
      </c>
      <c r="P57" s="149"/>
      <c r="Q57" s="147">
        <f t="shared" si="13"/>
        <v>1404</v>
      </c>
      <c r="S57" s="48"/>
      <c r="U57" s="62"/>
      <c r="W57" s="160">
        <f t="shared" si="17"/>
        <v>5908.9</v>
      </c>
      <c r="X57" s="105">
        <f t="shared" si="18"/>
        <v>0.35166776387974547</v>
      </c>
      <c r="Y57" s="60">
        <f t="shared" si="8"/>
        <v>28.080000000000002</v>
      </c>
    </row>
    <row r="58" spans="1:25" s="5" customFormat="1" x14ac:dyDescent="0.25">
      <c r="A58" s="9" t="s">
        <v>89</v>
      </c>
      <c r="B58" s="170">
        <v>68280</v>
      </c>
      <c r="C58" s="172">
        <v>24441</v>
      </c>
      <c r="D58" s="138">
        <v>15052</v>
      </c>
      <c r="E58" s="173">
        <v>6126</v>
      </c>
      <c r="F58" s="83">
        <v>1636</v>
      </c>
      <c r="G58" s="21">
        <f t="shared" si="15"/>
        <v>6828</v>
      </c>
      <c r="H58" s="82">
        <f>L58*$L$20+N58*$N$20+P58*$P$20+R58*$R$20+S58*$S$20+T58*$T$20+U58*$U$20</f>
        <v>0</v>
      </c>
      <c r="I58" s="81">
        <f>IF(H58&lt;&gt;0,H58-G58,)</f>
        <v>0</v>
      </c>
      <c r="J58" s="18">
        <f>IF(H58&lt;&gt;0,(H58-G58)/G58,)</f>
        <v>0</v>
      </c>
      <c r="K58" s="146">
        <f t="shared" si="14"/>
        <v>11</v>
      </c>
      <c r="L58" s="83"/>
      <c r="M58" s="147">
        <f t="shared" si="11"/>
        <v>236</v>
      </c>
      <c r="N58" s="148"/>
      <c r="O58" s="147">
        <f t="shared" si="12"/>
        <v>47</v>
      </c>
      <c r="P58" s="149"/>
      <c r="Q58" s="147">
        <f t="shared" si="13"/>
        <v>1050</v>
      </c>
      <c r="R58" s="48"/>
      <c r="S58" s="48"/>
      <c r="U58" s="62"/>
      <c r="W58" s="160">
        <f t="shared" si="17"/>
        <v>4405.1000000000004</v>
      </c>
      <c r="X58" s="105">
        <f t="shared" si="18"/>
        <v>0.35484768599882832</v>
      </c>
      <c r="Y58" s="60">
        <f t="shared" si="8"/>
        <v>21</v>
      </c>
    </row>
    <row r="59" spans="1:25" s="5" customFormat="1" x14ac:dyDescent="0.25">
      <c r="A59" s="9" t="s">
        <v>90</v>
      </c>
      <c r="B59" s="170">
        <v>94660</v>
      </c>
      <c r="C59" s="172">
        <v>33745</v>
      </c>
      <c r="D59" s="138">
        <v>21382</v>
      </c>
      <c r="E59" s="173">
        <v>8080</v>
      </c>
      <c r="F59" s="83">
        <v>2343</v>
      </c>
      <c r="G59" s="21">
        <f>B59/10</f>
        <v>9466</v>
      </c>
      <c r="H59" s="82">
        <f>L59*$L$20+N59*$N$20+P59*$P$20+R59*$R$20+S59*$S$20+T59*$T$20+U59*$U$20</f>
        <v>0</v>
      </c>
      <c r="I59" s="81">
        <f>IF(H59&lt;&gt;0,H59-G59,)</f>
        <v>0</v>
      </c>
      <c r="J59" s="18">
        <f>IF(H59&lt;&gt;0,(H59-G59)/G59,)</f>
        <v>0</v>
      </c>
      <c r="K59" s="146">
        <f t="shared" si="14"/>
        <v>16</v>
      </c>
      <c r="L59" s="83"/>
      <c r="M59" s="147">
        <f t="shared" si="11"/>
        <v>329</v>
      </c>
      <c r="N59" s="148"/>
      <c r="O59" s="147">
        <f t="shared" si="12"/>
        <v>66</v>
      </c>
      <c r="P59" s="149"/>
      <c r="Q59" s="147">
        <f t="shared" si="13"/>
        <v>1449</v>
      </c>
      <c r="R59" s="48"/>
      <c r="S59" s="48"/>
      <c r="T59" s="81"/>
      <c r="U59" s="62"/>
      <c r="W59" s="160">
        <f t="shared" si="17"/>
        <v>6100.9</v>
      </c>
      <c r="X59" s="105">
        <f t="shared" si="18"/>
        <v>0.35549334460173254</v>
      </c>
      <c r="Y59" s="60">
        <f t="shared" si="8"/>
        <v>28.98</v>
      </c>
    </row>
    <row r="60" spans="1:25" s="5" customFormat="1" x14ac:dyDescent="0.25">
      <c r="A60" s="9" t="s">
        <v>91</v>
      </c>
      <c r="B60" s="170">
        <v>82040</v>
      </c>
      <c r="C60" s="172">
        <v>29268</v>
      </c>
      <c r="D60" s="138">
        <v>18235</v>
      </c>
      <c r="E60" s="173">
        <v>7422</v>
      </c>
      <c r="F60" s="83">
        <v>1977</v>
      </c>
      <c r="G60" s="21">
        <f t="shared" si="15"/>
        <v>8204</v>
      </c>
      <c r="H60" s="82">
        <f t="shared" si="6"/>
        <v>0</v>
      </c>
      <c r="I60" s="81">
        <f t="shared" si="16"/>
        <v>0</v>
      </c>
      <c r="J60" s="18">
        <f t="shared" si="19"/>
        <v>0</v>
      </c>
      <c r="K60" s="146">
        <f t="shared" si="14"/>
        <v>13</v>
      </c>
      <c r="L60" s="83"/>
      <c r="M60" s="147">
        <f t="shared" si="11"/>
        <v>287</v>
      </c>
      <c r="N60" s="148"/>
      <c r="O60" s="147">
        <f t="shared" si="12"/>
        <v>57</v>
      </c>
      <c r="P60" s="150"/>
      <c r="Q60" s="147">
        <f t="shared" si="13"/>
        <v>1257</v>
      </c>
      <c r="R60" s="62"/>
      <c r="S60" s="62"/>
      <c r="U60" s="62"/>
      <c r="W60" s="160">
        <f t="shared" si="17"/>
        <v>5284</v>
      </c>
      <c r="X60" s="105">
        <f t="shared" si="18"/>
        <v>0.355923939541687</v>
      </c>
      <c r="Y60" s="60">
        <f t="shared" si="8"/>
        <v>25.14</v>
      </c>
    </row>
    <row r="61" spans="1:25" s="5" customFormat="1" x14ac:dyDescent="0.25">
      <c r="A61" s="9" t="s">
        <v>92</v>
      </c>
      <c r="B61" s="170">
        <v>19630</v>
      </c>
      <c r="C61" s="172">
        <v>7012</v>
      </c>
      <c r="D61" s="138">
        <v>4371</v>
      </c>
      <c r="E61" s="173">
        <v>1628</v>
      </c>
      <c r="F61" s="83">
        <v>526</v>
      </c>
      <c r="G61" s="21">
        <f t="shared" si="15"/>
        <v>1963</v>
      </c>
      <c r="H61" s="82">
        <f t="shared" si="6"/>
        <v>0</v>
      </c>
      <c r="I61" s="81">
        <f t="shared" si="16"/>
        <v>0</v>
      </c>
      <c r="J61" s="18">
        <f t="shared" si="19"/>
        <v>0</v>
      </c>
      <c r="K61" s="146">
        <f t="shared" si="14"/>
        <v>4</v>
      </c>
      <c r="L61" s="83"/>
      <c r="M61" s="147">
        <f t="shared" si="11"/>
        <v>67</v>
      </c>
      <c r="N61" s="148"/>
      <c r="O61" s="147">
        <f t="shared" si="12"/>
        <v>13</v>
      </c>
      <c r="P61" s="149"/>
      <c r="Q61" s="147">
        <f t="shared" si="13"/>
        <v>301</v>
      </c>
      <c r="R61" s="48"/>
      <c r="S61" s="62"/>
      <c r="U61" s="62"/>
      <c r="W61" s="160">
        <f t="shared" si="17"/>
        <v>1270.7</v>
      </c>
      <c r="X61" s="105">
        <f t="shared" si="18"/>
        <v>0.35267447784004075</v>
      </c>
      <c r="Y61" s="60">
        <f t="shared" si="8"/>
        <v>6.0200000000000005</v>
      </c>
    </row>
    <row r="62" spans="1:25" s="5" customFormat="1" x14ac:dyDescent="0.25">
      <c r="A62" s="9" t="s">
        <v>93</v>
      </c>
      <c r="B62" s="170">
        <v>74730</v>
      </c>
      <c r="C62" s="172">
        <v>26611</v>
      </c>
      <c r="D62" s="138">
        <v>16635</v>
      </c>
      <c r="E62" s="173">
        <v>7168</v>
      </c>
      <c r="F62" s="83">
        <v>1608</v>
      </c>
      <c r="G62" s="21">
        <f t="shared" si="15"/>
        <v>7473</v>
      </c>
      <c r="H62" s="82">
        <f t="shared" si="6"/>
        <v>0</v>
      </c>
      <c r="I62" s="81">
        <f t="shared" si="16"/>
        <v>0</v>
      </c>
      <c r="J62" s="18">
        <f t="shared" si="19"/>
        <v>0</v>
      </c>
      <c r="K62" s="146">
        <f t="shared" si="14"/>
        <v>11</v>
      </c>
      <c r="L62" s="83"/>
      <c r="M62" s="147">
        <f t="shared" si="11"/>
        <v>266</v>
      </c>
      <c r="N62" s="148"/>
      <c r="O62" s="147">
        <f t="shared" si="12"/>
        <v>53</v>
      </c>
      <c r="P62" s="149"/>
      <c r="Q62" s="147">
        <f t="shared" si="13"/>
        <v>1143</v>
      </c>
      <c r="R62" s="48"/>
      <c r="S62" s="48"/>
      <c r="U62" s="62"/>
      <c r="W62" s="160">
        <f t="shared" si="17"/>
        <v>4809.5</v>
      </c>
      <c r="X62" s="105">
        <f t="shared" si="18"/>
        <v>0.35641643249029842</v>
      </c>
      <c r="Y62" s="60">
        <f t="shared" si="8"/>
        <v>22.86</v>
      </c>
    </row>
    <row r="63" spans="1:25" s="5" customFormat="1" x14ac:dyDescent="0.25">
      <c r="A63" s="9" t="s">
        <v>94</v>
      </c>
      <c r="B63" s="170">
        <v>41900</v>
      </c>
      <c r="C63" s="172">
        <v>14858</v>
      </c>
      <c r="D63" s="138">
        <v>8964</v>
      </c>
      <c r="E63" s="173">
        <v>4161</v>
      </c>
      <c r="F63" s="83">
        <v>961</v>
      </c>
      <c r="G63" s="21">
        <f t="shared" si="15"/>
        <v>4190</v>
      </c>
      <c r="H63" s="82">
        <f t="shared" si="6"/>
        <v>0</v>
      </c>
      <c r="I63" s="81">
        <f t="shared" si="16"/>
        <v>0</v>
      </c>
      <c r="J63" s="18">
        <f t="shared" si="19"/>
        <v>0</v>
      </c>
      <c r="K63" s="146">
        <f t="shared" si="14"/>
        <v>7</v>
      </c>
      <c r="L63" s="83"/>
      <c r="M63" s="147">
        <f t="shared" si="11"/>
        <v>147</v>
      </c>
      <c r="N63" s="148"/>
      <c r="O63" s="147">
        <f t="shared" si="12"/>
        <v>29</v>
      </c>
      <c r="P63" s="149"/>
      <c r="Q63" s="147">
        <f t="shared" si="13"/>
        <v>638</v>
      </c>
      <c r="R63" s="48"/>
      <c r="S63" s="48"/>
      <c r="U63" s="62"/>
      <c r="W63" s="160">
        <f t="shared" si="17"/>
        <v>2690.3999999999996</v>
      </c>
      <c r="X63" s="105">
        <f t="shared" si="18"/>
        <v>0.35789976133651558</v>
      </c>
      <c r="Y63" s="60">
        <f t="shared" si="8"/>
        <v>12.76</v>
      </c>
    </row>
    <row r="64" spans="1:25" s="5" customFormat="1" x14ac:dyDescent="0.25">
      <c r="A64" s="9" t="s">
        <v>95</v>
      </c>
      <c r="B64" s="170">
        <v>70330</v>
      </c>
      <c r="C64" s="172">
        <v>24942</v>
      </c>
      <c r="D64" s="138">
        <v>15781</v>
      </c>
      <c r="E64" s="173">
        <v>6161</v>
      </c>
      <c r="F64" s="83">
        <v>1789</v>
      </c>
      <c r="G64" s="21">
        <f t="shared" si="15"/>
        <v>7033</v>
      </c>
      <c r="H64" s="82">
        <f t="shared" si="6"/>
        <v>0</v>
      </c>
      <c r="I64" s="81">
        <f t="shared" si="16"/>
        <v>0</v>
      </c>
      <c r="J64" s="18">
        <f t="shared" si="19"/>
        <v>0</v>
      </c>
      <c r="K64" s="146">
        <f t="shared" si="14"/>
        <v>12</v>
      </c>
      <c r="L64" s="83"/>
      <c r="M64" s="147">
        <f t="shared" si="11"/>
        <v>245</v>
      </c>
      <c r="N64" s="148"/>
      <c r="O64" s="147">
        <f t="shared" si="12"/>
        <v>49</v>
      </c>
      <c r="P64" s="149"/>
      <c r="Q64" s="147">
        <f t="shared" si="13"/>
        <v>1071</v>
      </c>
      <c r="R64" s="48"/>
      <c r="S64" s="48"/>
      <c r="U64" s="62"/>
      <c r="W64" s="160">
        <f t="shared" si="17"/>
        <v>4516.5</v>
      </c>
      <c r="X64" s="105">
        <f t="shared" si="18"/>
        <v>0.35781316650078204</v>
      </c>
      <c r="Y64" s="60">
        <f t="shared" si="8"/>
        <v>21.42</v>
      </c>
    </row>
    <row r="65" spans="1:25" s="5" customFormat="1" x14ac:dyDescent="0.25">
      <c r="A65" s="9" t="s">
        <v>96</v>
      </c>
      <c r="B65" s="170">
        <v>82930</v>
      </c>
      <c r="C65" s="172">
        <v>29846</v>
      </c>
      <c r="D65" s="138">
        <v>19707</v>
      </c>
      <c r="E65" s="173">
        <v>5555</v>
      </c>
      <c r="F65" s="83">
        <v>2343</v>
      </c>
      <c r="G65" s="21">
        <f t="shared" si="15"/>
        <v>8293</v>
      </c>
      <c r="H65" s="82">
        <f t="shared" si="6"/>
        <v>0</v>
      </c>
      <c r="I65" s="81">
        <f t="shared" si="16"/>
        <v>0</v>
      </c>
      <c r="J65" s="18">
        <f t="shared" si="19"/>
        <v>0</v>
      </c>
      <c r="K65" s="146">
        <f t="shared" si="14"/>
        <v>16</v>
      </c>
      <c r="L65" s="83"/>
      <c r="M65" s="147">
        <f t="shared" si="11"/>
        <v>282</v>
      </c>
      <c r="N65" s="148"/>
      <c r="O65" s="147">
        <f t="shared" si="12"/>
        <v>56</v>
      </c>
      <c r="P65" s="149"/>
      <c r="Q65" s="147">
        <f t="shared" si="13"/>
        <v>1282</v>
      </c>
      <c r="R65" s="48"/>
      <c r="S65" s="48"/>
      <c r="U65" s="62"/>
      <c r="W65" s="160">
        <f t="shared" si="17"/>
        <v>5393</v>
      </c>
      <c r="X65" s="105">
        <f t="shared" si="18"/>
        <v>0.34969251175690341</v>
      </c>
      <c r="Y65" s="60">
        <f t="shared" si="8"/>
        <v>25.64</v>
      </c>
    </row>
    <row r="66" spans="1:25" s="5" customFormat="1" x14ac:dyDescent="0.25">
      <c r="A66" s="9" t="s">
        <v>97</v>
      </c>
      <c r="B66" s="170">
        <v>157540</v>
      </c>
      <c r="C66" s="172">
        <v>112642</v>
      </c>
      <c r="D66" s="138">
        <v>71840</v>
      </c>
      <c r="E66" s="173">
        <v>23862</v>
      </c>
      <c r="F66" s="83">
        <v>7537</v>
      </c>
      <c r="G66" s="21">
        <f t="shared" si="15"/>
        <v>15754</v>
      </c>
      <c r="H66" s="82">
        <f t="shared" si="6"/>
        <v>0</v>
      </c>
      <c r="I66" s="81">
        <f t="shared" si="16"/>
        <v>0</v>
      </c>
      <c r="J66" s="18">
        <f t="shared" si="19"/>
        <v>0</v>
      </c>
      <c r="K66" s="174">
        <v>28</v>
      </c>
      <c r="L66" s="83"/>
      <c r="M66" s="147">
        <f>ROUND($M$22/($D$93+$E$93)*(D66+E66)*$B$91,0)</f>
        <v>582</v>
      </c>
      <c r="N66" s="148"/>
      <c r="O66" s="147">
        <f>ROUND($O$22/($D$93+$E$93)*(D66+E66)*$B$91,0)</f>
        <v>116</v>
      </c>
      <c r="P66" s="149"/>
      <c r="Q66" s="147">
        <f>ROUND($Q$22/$C$93*C66*$B$91,0)</f>
        <v>2636</v>
      </c>
      <c r="R66" s="48"/>
      <c r="S66" s="48"/>
      <c r="U66" s="62"/>
      <c r="W66" s="160">
        <f t="shared" si="17"/>
        <v>11033.4</v>
      </c>
      <c r="X66" s="105">
        <f t="shared" si="18"/>
        <v>0.29964453472134062</v>
      </c>
      <c r="Y66" s="60">
        <f t="shared" si="8"/>
        <v>52.72</v>
      </c>
    </row>
    <row r="67" spans="1:25" s="5" customFormat="1" x14ac:dyDescent="0.25">
      <c r="A67" s="9" t="s">
        <v>98</v>
      </c>
      <c r="B67" s="170">
        <v>112530</v>
      </c>
      <c r="C67" s="172">
        <v>40027</v>
      </c>
      <c r="D67" s="138">
        <v>25327</v>
      </c>
      <c r="E67" s="173">
        <v>8973</v>
      </c>
      <c r="F67" s="83">
        <v>2760</v>
      </c>
      <c r="G67" s="21">
        <f t="shared" si="15"/>
        <v>11253</v>
      </c>
      <c r="H67" s="82">
        <f>L67*$L$20+N67*$N$20+P67*$P$20+R67*$R$20+S67*$S$20+T67*$T$20+U67*$U$20</f>
        <v>0</v>
      </c>
      <c r="I67" s="81">
        <f t="shared" si="16"/>
        <v>0</v>
      </c>
      <c r="J67" s="18">
        <f t="shared" si="19"/>
        <v>0</v>
      </c>
      <c r="K67" s="146">
        <f t="shared" si="14"/>
        <v>19</v>
      </c>
      <c r="L67" s="83"/>
      <c r="M67" s="147">
        <f t="shared" ref="M67:M78" si="20">ROUND($M$22/($D$93+$E$93)*(D67+E67)*$B$90,0)</f>
        <v>383</v>
      </c>
      <c r="N67" s="148"/>
      <c r="O67" s="147">
        <f t="shared" ref="O67:O78" si="21">ROUND($O$22/($D$93+$E$93)*(D67+E67)*$B$90,0)</f>
        <v>77</v>
      </c>
      <c r="P67" s="149"/>
      <c r="Q67" s="147">
        <f t="shared" ref="Q67:Q78" si="22">ROUND($Q$22/$C$93*C67*$B$90,0)</f>
        <v>1719</v>
      </c>
      <c r="R67" s="62"/>
      <c r="S67" s="48"/>
      <c r="U67" s="62"/>
      <c r="W67" s="160">
        <f t="shared" si="17"/>
        <v>7217</v>
      </c>
      <c r="X67" s="105">
        <f t="shared" si="18"/>
        <v>0.3586599129121123</v>
      </c>
      <c r="Y67" s="60">
        <f t="shared" si="8"/>
        <v>34.380000000000003</v>
      </c>
    </row>
    <row r="68" spans="1:25" s="5" customFormat="1" x14ac:dyDescent="0.25">
      <c r="A68" s="9" t="s">
        <v>99</v>
      </c>
      <c r="B68" s="170">
        <v>57140</v>
      </c>
      <c r="C68" s="172">
        <v>20262</v>
      </c>
      <c r="D68" s="138">
        <v>12953</v>
      </c>
      <c r="E68" s="173">
        <v>4621</v>
      </c>
      <c r="F68" s="83">
        <v>1512</v>
      </c>
      <c r="G68" s="21">
        <f t="shared" si="15"/>
        <v>5714</v>
      </c>
      <c r="H68" s="82">
        <f t="shared" si="6"/>
        <v>0</v>
      </c>
      <c r="I68" s="81">
        <f t="shared" si="16"/>
        <v>0</v>
      </c>
      <c r="J68" s="18">
        <f t="shared" si="19"/>
        <v>0</v>
      </c>
      <c r="K68" s="146">
        <f t="shared" si="14"/>
        <v>10</v>
      </c>
      <c r="L68" s="83"/>
      <c r="M68" s="147">
        <f t="shared" si="20"/>
        <v>196</v>
      </c>
      <c r="N68" s="148"/>
      <c r="O68" s="147">
        <f t="shared" si="21"/>
        <v>39</v>
      </c>
      <c r="P68" s="149"/>
      <c r="Q68" s="147">
        <f t="shared" si="22"/>
        <v>870</v>
      </c>
      <c r="R68" s="62"/>
      <c r="S68" s="48"/>
      <c r="U68" s="62"/>
      <c r="W68" s="160">
        <f t="shared" si="17"/>
        <v>3662.6</v>
      </c>
      <c r="X68" s="105">
        <f t="shared" si="18"/>
        <v>0.35901295064753241</v>
      </c>
      <c r="Y68" s="60">
        <f t="shared" si="8"/>
        <v>17.400000000000002</v>
      </c>
    </row>
    <row r="69" spans="1:25" s="5" customFormat="1" x14ac:dyDescent="0.25">
      <c r="A69" s="108" t="s">
        <v>100</v>
      </c>
      <c r="B69" s="170">
        <v>106370</v>
      </c>
      <c r="C69" s="172">
        <v>38203</v>
      </c>
      <c r="D69" s="140">
        <v>23894</v>
      </c>
      <c r="E69" s="173">
        <v>8631</v>
      </c>
      <c r="F69" s="145">
        <v>2770</v>
      </c>
      <c r="G69" s="137">
        <f t="shared" si="15"/>
        <v>10637</v>
      </c>
      <c r="H69" s="111">
        <f>L69*$L$20+N69*$N$20+P69*$P$20+R69*$R$20+S69*$S$20+T69*$T$20+U69*$U$20</f>
        <v>0</v>
      </c>
      <c r="I69" s="110">
        <f t="shared" si="16"/>
        <v>0</v>
      </c>
      <c r="J69" s="112">
        <f t="shared" si="19"/>
        <v>0</v>
      </c>
      <c r="K69" s="155">
        <f t="shared" si="14"/>
        <v>19</v>
      </c>
      <c r="L69" s="145"/>
      <c r="M69" s="156">
        <f t="shared" si="20"/>
        <v>363</v>
      </c>
      <c r="N69" s="157"/>
      <c r="O69" s="156">
        <f t="shared" si="21"/>
        <v>73</v>
      </c>
      <c r="P69" s="158"/>
      <c r="Q69" s="156">
        <f t="shared" si="22"/>
        <v>1640</v>
      </c>
      <c r="R69" s="113"/>
      <c r="S69" s="113"/>
      <c r="T69" s="109"/>
      <c r="U69" s="114"/>
      <c r="W69" s="160">
        <f t="shared" si="17"/>
        <v>6889.6</v>
      </c>
      <c r="X69" s="105">
        <f t="shared" si="18"/>
        <v>0.35229858042681206</v>
      </c>
      <c r="Y69" s="60">
        <f t="shared" si="8"/>
        <v>32.799999999999997</v>
      </c>
    </row>
    <row r="70" spans="1:25" s="5" customFormat="1" x14ac:dyDescent="0.25">
      <c r="A70" s="9" t="s">
        <v>101</v>
      </c>
      <c r="B70" s="170">
        <v>40730</v>
      </c>
      <c r="C70" s="172">
        <v>14535</v>
      </c>
      <c r="D70" s="138">
        <v>9286</v>
      </c>
      <c r="E70" s="173">
        <v>3331</v>
      </c>
      <c r="F70" s="83">
        <v>928</v>
      </c>
      <c r="G70" s="21">
        <f t="shared" si="15"/>
        <v>4073</v>
      </c>
      <c r="H70" s="81">
        <f t="shared" si="6"/>
        <v>0</v>
      </c>
      <c r="I70" s="81">
        <f t="shared" si="16"/>
        <v>0</v>
      </c>
      <c r="J70" s="18">
        <f t="shared" si="19"/>
        <v>0</v>
      </c>
      <c r="K70" s="146">
        <f t="shared" si="14"/>
        <v>6</v>
      </c>
      <c r="L70" s="83"/>
      <c r="M70" s="147">
        <f t="shared" si="20"/>
        <v>141</v>
      </c>
      <c r="N70" s="148"/>
      <c r="O70" s="147">
        <f t="shared" si="21"/>
        <v>28</v>
      </c>
      <c r="P70" s="149"/>
      <c r="Q70" s="147">
        <f t="shared" si="22"/>
        <v>624</v>
      </c>
      <c r="R70" s="62"/>
      <c r="S70" s="48"/>
      <c r="U70" s="62"/>
      <c r="W70" s="161">
        <f t="shared" si="17"/>
        <v>2612.8999999999996</v>
      </c>
      <c r="X70" s="105">
        <f t="shared" si="18"/>
        <v>0.35848269089123508</v>
      </c>
      <c r="Y70" s="60">
        <f t="shared" si="8"/>
        <v>12.48</v>
      </c>
    </row>
    <row r="71" spans="1:25" s="5" customFormat="1" x14ac:dyDescent="0.25">
      <c r="A71" s="9" t="s">
        <v>102</v>
      </c>
      <c r="B71" s="170">
        <v>59770</v>
      </c>
      <c r="C71" s="172">
        <v>21289</v>
      </c>
      <c r="D71" s="141">
        <v>13442</v>
      </c>
      <c r="E71" s="173">
        <v>5479</v>
      </c>
      <c r="F71" s="83">
        <v>1381</v>
      </c>
      <c r="G71" s="21">
        <f t="shared" si="15"/>
        <v>5977</v>
      </c>
      <c r="H71" s="82">
        <f>L71*$L$20+N71*$N$20+P71*$P$20+R71*$R$20+S71*$S$20+T71*$T$20+U71*$U$20</f>
        <v>0</v>
      </c>
      <c r="I71" s="82">
        <f t="shared" si="16"/>
        <v>0</v>
      </c>
      <c r="J71" s="164">
        <f t="shared" si="19"/>
        <v>0</v>
      </c>
      <c r="K71" s="146">
        <f t="shared" si="14"/>
        <v>9</v>
      </c>
      <c r="L71" s="83"/>
      <c r="M71" s="147">
        <f t="shared" si="20"/>
        <v>211</v>
      </c>
      <c r="N71" s="148"/>
      <c r="O71" s="147">
        <f t="shared" si="21"/>
        <v>42</v>
      </c>
      <c r="P71" s="149"/>
      <c r="Q71" s="147">
        <f t="shared" si="22"/>
        <v>914</v>
      </c>
      <c r="R71" s="48"/>
      <c r="S71" s="48"/>
      <c r="U71" s="62"/>
      <c r="W71" s="160">
        <f t="shared" si="17"/>
        <v>3843.3999999999996</v>
      </c>
      <c r="X71" s="105">
        <f t="shared" si="18"/>
        <v>0.35696837878534388</v>
      </c>
      <c r="Y71" s="60">
        <f t="shared" si="8"/>
        <v>18.28</v>
      </c>
    </row>
    <row r="72" spans="1:25" s="5" customFormat="1" x14ac:dyDescent="0.25">
      <c r="A72" s="121" t="s">
        <v>103</v>
      </c>
      <c r="B72" s="170">
        <v>104020</v>
      </c>
      <c r="C72" s="172">
        <v>37347</v>
      </c>
      <c r="D72" s="142">
        <v>23091</v>
      </c>
      <c r="E72" s="173">
        <v>8770</v>
      </c>
      <c r="F72" s="144">
        <v>2552</v>
      </c>
      <c r="G72" s="122">
        <f t="shared" si="15"/>
        <v>10402</v>
      </c>
      <c r="H72" s="116">
        <f t="shared" si="6"/>
        <v>0</v>
      </c>
      <c r="I72" s="136">
        <f t="shared" si="16"/>
        <v>0</v>
      </c>
      <c r="J72" s="125">
        <f t="shared" si="19"/>
        <v>0</v>
      </c>
      <c r="K72" s="151">
        <f t="shared" si="14"/>
        <v>17</v>
      </c>
      <c r="L72" s="144"/>
      <c r="M72" s="152">
        <f t="shared" si="20"/>
        <v>356</v>
      </c>
      <c r="N72" s="153"/>
      <c r="O72" s="152">
        <f t="shared" si="21"/>
        <v>71</v>
      </c>
      <c r="P72" s="154"/>
      <c r="Q72" s="152">
        <f t="shared" si="22"/>
        <v>1604</v>
      </c>
      <c r="R72" s="127"/>
      <c r="S72" s="127"/>
      <c r="T72" s="126"/>
      <c r="U72" s="128"/>
      <c r="W72" s="160">
        <f t="shared" si="17"/>
        <v>6718.9</v>
      </c>
      <c r="X72" s="105">
        <f t="shared" si="18"/>
        <v>0.35407613920399927</v>
      </c>
      <c r="Y72" s="60">
        <f t="shared" si="8"/>
        <v>32.08</v>
      </c>
    </row>
    <row r="73" spans="1:25" s="5" customFormat="1" x14ac:dyDescent="0.25">
      <c r="A73" s="9" t="s">
        <v>104</v>
      </c>
      <c r="B73" s="170">
        <v>107250</v>
      </c>
      <c r="C73" s="172">
        <v>38246</v>
      </c>
      <c r="D73" s="143">
        <v>23501</v>
      </c>
      <c r="E73" s="173">
        <v>9484</v>
      </c>
      <c r="F73" s="83">
        <v>2813</v>
      </c>
      <c r="G73" s="21">
        <f t="shared" si="15"/>
        <v>10725</v>
      </c>
      <c r="H73" s="82">
        <f t="shared" si="6"/>
        <v>0</v>
      </c>
      <c r="I73" s="81">
        <f t="shared" si="16"/>
        <v>0</v>
      </c>
      <c r="J73" s="18">
        <f t="shared" si="19"/>
        <v>0</v>
      </c>
      <c r="K73" s="146">
        <f t="shared" si="14"/>
        <v>19</v>
      </c>
      <c r="L73" s="83"/>
      <c r="M73" s="147">
        <f t="shared" si="20"/>
        <v>368</v>
      </c>
      <c r="N73" s="148"/>
      <c r="O73" s="147">
        <f t="shared" si="21"/>
        <v>74</v>
      </c>
      <c r="P73" s="149"/>
      <c r="Q73" s="147">
        <f t="shared" si="22"/>
        <v>1642</v>
      </c>
      <c r="R73" s="48"/>
      <c r="S73" s="48"/>
      <c r="U73" s="62"/>
      <c r="W73" s="160">
        <f t="shared" si="17"/>
        <v>6911.1</v>
      </c>
      <c r="X73" s="105">
        <f t="shared" si="18"/>
        <v>0.35560839160839158</v>
      </c>
      <c r="Y73" s="60">
        <f t="shared" si="8"/>
        <v>32.840000000000003</v>
      </c>
    </row>
    <row r="74" spans="1:25" s="5" customFormat="1" x14ac:dyDescent="0.25">
      <c r="A74" s="9" t="s">
        <v>105</v>
      </c>
      <c r="B74" s="170">
        <v>97000</v>
      </c>
      <c r="C74" s="172">
        <v>35207</v>
      </c>
      <c r="D74" s="138">
        <v>23006</v>
      </c>
      <c r="E74" s="173">
        <v>6489</v>
      </c>
      <c r="F74" s="83">
        <v>2426</v>
      </c>
      <c r="G74" s="21">
        <f t="shared" si="15"/>
        <v>9700</v>
      </c>
      <c r="H74" s="82">
        <f t="shared" si="6"/>
        <v>0</v>
      </c>
      <c r="I74" s="81">
        <f t="shared" si="16"/>
        <v>0</v>
      </c>
      <c r="J74" s="18">
        <f t="shared" si="19"/>
        <v>0</v>
      </c>
      <c r="K74" s="146">
        <f t="shared" si="14"/>
        <v>16</v>
      </c>
      <c r="L74" s="83"/>
      <c r="M74" s="147">
        <f t="shared" si="20"/>
        <v>329</v>
      </c>
      <c r="N74" s="148"/>
      <c r="O74" s="147">
        <f t="shared" si="21"/>
        <v>66</v>
      </c>
      <c r="P74" s="149"/>
      <c r="Q74" s="147">
        <f t="shared" si="22"/>
        <v>1512</v>
      </c>
      <c r="R74" s="48"/>
      <c r="S74" s="48"/>
      <c r="U74" s="62"/>
      <c r="W74" s="160">
        <f t="shared" si="17"/>
        <v>6315.1</v>
      </c>
      <c r="X74" s="105">
        <f t="shared" si="18"/>
        <v>0.34895876288659788</v>
      </c>
      <c r="Y74" s="60">
        <f t="shared" si="8"/>
        <v>30.240000000000002</v>
      </c>
    </row>
    <row r="75" spans="1:25" s="5" customFormat="1" x14ac:dyDescent="0.25">
      <c r="A75" s="9" t="s">
        <v>106</v>
      </c>
      <c r="B75" s="170">
        <v>97290</v>
      </c>
      <c r="C75" s="172">
        <v>34923</v>
      </c>
      <c r="D75" s="138">
        <v>22055</v>
      </c>
      <c r="E75" s="173">
        <v>8475</v>
      </c>
      <c r="F75" s="83">
        <v>2173</v>
      </c>
      <c r="G75" s="21">
        <f t="shared" si="15"/>
        <v>9729</v>
      </c>
      <c r="H75" s="82">
        <f t="shared" si="6"/>
        <v>0</v>
      </c>
      <c r="I75" s="81">
        <f t="shared" si="16"/>
        <v>0</v>
      </c>
      <c r="J75" s="18">
        <f t="shared" si="19"/>
        <v>0</v>
      </c>
      <c r="K75" s="146">
        <f t="shared" si="14"/>
        <v>15</v>
      </c>
      <c r="L75" s="83"/>
      <c r="M75" s="147">
        <f t="shared" si="20"/>
        <v>341</v>
      </c>
      <c r="N75" s="148"/>
      <c r="O75" s="147">
        <f t="shared" si="21"/>
        <v>68</v>
      </c>
      <c r="P75" s="149"/>
      <c r="Q75" s="147">
        <f t="shared" si="22"/>
        <v>1500</v>
      </c>
      <c r="R75" s="62"/>
      <c r="S75" s="48"/>
      <c r="U75" s="62"/>
      <c r="W75" s="160">
        <f t="shared" si="17"/>
        <v>6295.4</v>
      </c>
      <c r="X75" s="105">
        <f t="shared" si="18"/>
        <v>0.35292424709631004</v>
      </c>
      <c r="Y75" s="60">
        <f t="shared" si="8"/>
        <v>30</v>
      </c>
    </row>
    <row r="76" spans="1:25" s="5" customFormat="1" x14ac:dyDescent="0.25">
      <c r="A76" s="9" t="s">
        <v>107</v>
      </c>
      <c r="B76" s="170">
        <v>104330</v>
      </c>
      <c r="C76" s="172">
        <v>37208</v>
      </c>
      <c r="D76" s="138">
        <v>23570</v>
      </c>
      <c r="E76" s="173">
        <v>9401</v>
      </c>
      <c r="F76" s="83">
        <v>2190</v>
      </c>
      <c r="G76" s="21">
        <f t="shared" si="15"/>
        <v>10433</v>
      </c>
      <c r="H76" s="82">
        <f t="shared" si="6"/>
        <v>0</v>
      </c>
      <c r="I76" s="81">
        <f t="shared" si="16"/>
        <v>0</v>
      </c>
      <c r="J76" s="18">
        <f t="shared" si="19"/>
        <v>0</v>
      </c>
      <c r="K76" s="146">
        <f t="shared" si="14"/>
        <v>15</v>
      </c>
      <c r="L76" s="83"/>
      <c r="M76" s="147">
        <f t="shared" si="20"/>
        <v>368</v>
      </c>
      <c r="N76" s="148"/>
      <c r="O76" s="147">
        <f t="shared" si="21"/>
        <v>74</v>
      </c>
      <c r="P76" s="149"/>
      <c r="Q76" s="147">
        <f t="shared" si="22"/>
        <v>1598</v>
      </c>
      <c r="R76" s="48"/>
      <c r="S76" s="48"/>
      <c r="U76" s="62"/>
      <c r="W76" s="160">
        <f t="shared" si="17"/>
        <v>6709.9</v>
      </c>
      <c r="X76" s="105">
        <f t="shared" si="18"/>
        <v>0.35685804658295794</v>
      </c>
      <c r="Y76" s="60">
        <f t="shared" si="8"/>
        <v>31.96</v>
      </c>
    </row>
    <row r="77" spans="1:25" s="5" customFormat="1" x14ac:dyDescent="0.25">
      <c r="A77" s="9" t="s">
        <v>108</v>
      </c>
      <c r="B77" s="170">
        <v>55090</v>
      </c>
      <c r="C77" s="172">
        <v>19566</v>
      </c>
      <c r="D77" s="138">
        <v>12116</v>
      </c>
      <c r="E77" s="173">
        <v>5369</v>
      </c>
      <c r="F77" s="83">
        <v>1192</v>
      </c>
      <c r="G77" s="21">
        <f t="shared" si="15"/>
        <v>5509</v>
      </c>
      <c r="H77" s="82">
        <f t="shared" si="6"/>
        <v>0</v>
      </c>
      <c r="I77" s="81">
        <f t="shared" si="16"/>
        <v>0</v>
      </c>
      <c r="J77" s="18">
        <f t="shared" si="19"/>
        <v>0</v>
      </c>
      <c r="K77" s="146">
        <f t="shared" si="14"/>
        <v>8</v>
      </c>
      <c r="L77" s="83"/>
      <c r="M77" s="147">
        <f t="shared" si="20"/>
        <v>195</v>
      </c>
      <c r="N77" s="148"/>
      <c r="O77" s="147">
        <f t="shared" si="21"/>
        <v>39</v>
      </c>
      <c r="P77" s="149"/>
      <c r="Q77" s="147">
        <f t="shared" si="22"/>
        <v>840</v>
      </c>
      <c r="R77" s="62"/>
      <c r="S77" s="48"/>
      <c r="U77" s="62"/>
      <c r="W77" s="160">
        <f t="shared" si="17"/>
        <v>3532.5</v>
      </c>
      <c r="X77" s="105">
        <f t="shared" si="18"/>
        <v>0.35877654746777998</v>
      </c>
      <c r="Y77" s="60">
        <f t="shared" si="8"/>
        <v>16.8</v>
      </c>
    </row>
    <row r="78" spans="1:25" s="5" customFormat="1" x14ac:dyDescent="0.25">
      <c r="A78" s="9" t="s">
        <v>109</v>
      </c>
      <c r="B78" s="170">
        <v>93480</v>
      </c>
      <c r="C78" s="172">
        <v>33270</v>
      </c>
      <c r="D78" s="138">
        <v>20844</v>
      </c>
      <c r="E78" s="173">
        <v>8102</v>
      </c>
      <c r="F78" s="83">
        <v>2470</v>
      </c>
      <c r="G78" s="21">
        <f t="shared" si="15"/>
        <v>9348</v>
      </c>
      <c r="H78" s="82">
        <f t="shared" si="6"/>
        <v>0</v>
      </c>
      <c r="I78" s="81">
        <f t="shared" si="16"/>
        <v>0</v>
      </c>
      <c r="J78" s="18">
        <f t="shared" si="19"/>
        <v>0</v>
      </c>
      <c r="K78" s="146">
        <f t="shared" si="14"/>
        <v>17</v>
      </c>
      <c r="L78" s="83"/>
      <c r="M78" s="147">
        <f t="shared" si="20"/>
        <v>323</v>
      </c>
      <c r="N78" s="148"/>
      <c r="O78" s="147">
        <f t="shared" si="21"/>
        <v>65</v>
      </c>
      <c r="P78" s="149"/>
      <c r="Q78" s="147">
        <f t="shared" si="22"/>
        <v>1429</v>
      </c>
      <c r="R78" s="48"/>
      <c r="S78" s="48"/>
      <c r="U78" s="62"/>
      <c r="W78" s="160">
        <f t="shared" si="17"/>
        <v>6028.7999999999993</v>
      </c>
      <c r="X78" s="105">
        <f t="shared" si="18"/>
        <v>0.35507060333761242</v>
      </c>
      <c r="Y78" s="60">
        <f t="shared" si="8"/>
        <v>28.580000000000002</v>
      </c>
    </row>
    <row r="79" spans="1:25" s="5" customFormat="1" x14ac:dyDescent="0.25">
      <c r="A79" s="9" t="s">
        <v>110</v>
      </c>
      <c r="B79" s="170">
        <v>587080</v>
      </c>
      <c r="C79" s="172">
        <v>611176</v>
      </c>
      <c r="D79" s="138">
        <v>389971</v>
      </c>
      <c r="E79" s="173">
        <v>110877</v>
      </c>
      <c r="F79" s="83">
        <v>46063</v>
      </c>
      <c r="G79" s="21">
        <f t="shared" si="15"/>
        <v>58708</v>
      </c>
      <c r="H79" s="82">
        <f t="shared" si="6"/>
        <v>0</v>
      </c>
      <c r="I79" s="81">
        <f>IF(H79&lt;&gt;0,H79-G79,)</f>
        <v>0</v>
      </c>
      <c r="J79" s="18">
        <f t="shared" si="19"/>
        <v>0</v>
      </c>
      <c r="K79" s="146">
        <f>ROUND($K$22/$F$93*$B$92*F79,0)</f>
        <v>117</v>
      </c>
      <c r="L79" s="83"/>
      <c r="M79" s="147">
        <f>ROUND($M$22/($D$93+$E$93)*(D79+E79)*$B$92,0)</f>
        <v>2097</v>
      </c>
      <c r="N79" s="148"/>
      <c r="O79" s="147">
        <f>ROUND($O$22/($D$93+$E$93)*(D79+E79)*$B$92,0)</f>
        <v>419</v>
      </c>
      <c r="P79" s="149"/>
      <c r="Q79" s="147">
        <f>ROUND($Q$22/$C$93*C79*$B$92,0)</f>
        <v>9842</v>
      </c>
      <c r="R79" s="48"/>
      <c r="S79" s="48"/>
      <c r="U79" s="62"/>
      <c r="W79" s="160">
        <f t="shared" si="17"/>
        <v>41135.999999999993</v>
      </c>
      <c r="X79" s="105">
        <f t="shared" si="18"/>
        <v>0.29931184847039599</v>
      </c>
      <c r="Y79" s="60">
        <f t="shared" si="8"/>
        <v>196.84</v>
      </c>
    </row>
    <row r="80" spans="1:25" s="5" customFormat="1" x14ac:dyDescent="0.25">
      <c r="A80" s="9" t="s">
        <v>111</v>
      </c>
      <c r="B80" s="170">
        <v>152940</v>
      </c>
      <c r="C80" s="172">
        <v>109747</v>
      </c>
      <c r="D80" s="138">
        <v>72502</v>
      </c>
      <c r="E80" s="173">
        <v>17651</v>
      </c>
      <c r="F80" s="83">
        <v>9029</v>
      </c>
      <c r="G80" s="21">
        <f t="shared" si="15"/>
        <v>15294</v>
      </c>
      <c r="H80" s="82">
        <f t="shared" si="6"/>
        <v>0</v>
      </c>
      <c r="I80" s="81">
        <f t="shared" si="16"/>
        <v>0</v>
      </c>
      <c r="J80" s="18">
        <f t="shared" si="19"/>
        <v>0</v>
      </c>
      <c r="K80" s="146">
        <f>ROUND($K$22/$F$93*$B$91*F80,0)</f>
        <v>33</v>
      </c>
      <c r="L80" s="83"/>
      <c r="M80" s="147">
        <f>ROUND($M$22/($D$93+$E$93)*(D80+E80)*$B$91,0)</f>
        <v>549</v>
      </c>
      <c r="N80" s="148"/>
      <c r="O80" s="147">
        <f>ROUND($O$22/($D$93+$E$93)*(D80+E80)*$B$91,0)</f>
        <v>110</v>
      </c>
      <c r="P80" s="149"/>
      <c r="Q80" s="147">
        <f>ROUND($Q$22/$C$93*C80*$B$91,0)</f>
        <v>2568</v>
      </c>
      <c r="R80" s="48"/>
      <c r="S80" s="48"/>
      <c r="U80" s="62"/>
      <c r="W80" s="160">
        <f t="shared" si="17"/>
        <v>10771.599999999999</v>
      </c>
      <c r="X80" s="105">
        <f t="shared" si="18"/>
        <v>0.29569765921276325</v>
      </c>
      <c r="Y80" s="60">
        <f t="shared" si="8"/>
        <v>51.36</v>
      </c>
    </row>
    <row r="81" spans="1:25" s="5" customFormat="1" x14ac:dyDescent="0.25">
      <c r="A81" s="9" t="s">
        <v>112</v>
      </c>
      <c r="B81" s="170">
        <v>53920</v>
      </c>
      <c r="C81" s="172">
        <v>19315</v>
      </c>
      <c r="D81" s="138">
        <v>10927</v>
      </c>
      <c r="E81" s="173">
        <v>5952</v>
      </c>
      <c r="F81" s="83">
        <v>1287</v>
      </c>
      <c r="G81" s="21">
        <f t="shared" si="15"/>
        <v>5392</v>
      </c>
      <c r="H81" s="82">
        <f t="shared" si="6"/>
        <v>0</v>
      </c>
      <c r="I81" s="81">
        <f t="shared" si="16"/>
        <v>0</v>
      </c>
      <c r="J81" s="18">
        <f t="shared" si="19"/>
        <v>0</v>
      </c>
      <c r="K81" s="146">
        <f>ROUND($K$22/$F$93*F81,0)</f>
        <v>9</v>
      </c>
      <c r="L81" s="83"/>
      <c r="M81" s="147">
        <f>ROUND($M$22/($D$93+$E$93)*(D81+E81)*$B$90,0)</f>
        <v>188</v>
      </c>
      <c r="N81" s="148"/>
      <c r="O81" s="147">
        <f>ROUND($O$22/($D$93+$E$93)*(D81+E81)*$B$90,0)</f>
        <v>38</v>
      </c>
      <c r="P81" s="149"/>
      <c r="Q81" s="147">
        <f>ROUND($Q$22/$C$93*C81*$B$90,0)</f>
        <v>829</v>
      </c>
      <c r="R81" s="48"/>
      <c r="S81" s="48"/>
      <c r="U81" s="62"/>
      <c r="W81" s="160">
        <f t="shared" si="17"/>
        <v>3488.7</v>
      </c>
      <c r="X81" s="105">
        <f t="shared" si="18"/>
        <v>0.35298590504451044</v>
      </c>
      <c r="Y81" s="60">
        <f t="shared" si="8"/>
        <v>16.580000000000002</v>
      </c>
    </row>
    <row r="82" spans="1:25" s="5" customFormat="1" x14ac:dyDescent="0.25">
      <c r="A82" s="9" t="s">
        <v>113</v>
      </c>
      <c r="B82" s="170">
        <v>38980</v>
      </c>
      <c r="C82" s="172">
        <v>13927</v>
      </c>
      <c r="D82" s="138">
        <v>8675</v>
      </c>
      <c r="E82" s="173">
        <v>3777</v>
      </c>
      <c r="F82" s="83">
        <v>893</v>
      </c>
      <c r="G82" s="21">
        <f t="shared" si="15"/>
        <v>3898</v>
      </c>
      <c r="H82" s="82">
        <f t="shared" si="6"/>
        <v>0</v>
      </c>
      <c r="I82" s="81">
        <f t="shared" si="16"/>
        <v>0</v>
      </c>
      <c r="J82" s="18">
        <f t="shared" si="19"/>
        <v>0</v>
      </c>
      <c r="K82" s="159">
        <f>ROUND($K$22/$F$93*F82,0)</f>
        <v>6</v>
      </c>
      <c r="L82" s="83"/>
      <c r="M82" s="147">
        <f>ROUND($M$22/($D$93+$E$93)*(D82+E82)*$B$90,0)</f>
        <v>139</v>
      </c>
      <c r="N82" s="148"/>
      <c r="O82" s="147">
        <f>ROUND($O$22/($D$93+$E$93)*(D82+E82)*$B$90,0)</f>
        <v>28</v>
      </c>
      <c r="P82" s="149"/>
      <c r="Q82" s="147">
        <f>ROUND($Q$22/$C$93*C82*$B$90,0)</f>
        <v>598</v>
      </c>
      <c r="R82" s="48"/>
      <c r="S82" s="48"/>
      <c r="U82" s="62"/>
      <c r="W82" s="160">
        <f t="shared" si="17"/>
        <v>2519.9</v>
      </c>
      <c r="X82" s="105">
        <f t="shared" si="18"/>
        <v>0.35354027706516161</v>
      </c>
      <c r="Y82" s="60">
        <f t="shared" si="8"/>
        <v>11.96</v>
      </c>
    </row>
    <row r="83" spans="1:25" s="5" customFormat="1" ht="12.75" x14ac:dyDescent="0.2">
      <c r="A83" s="40" t="s">
        <v>114</v>
      </c>
      <c r="B83" s="99">
        <f>SUM(B23:B82)</f>
        <v>5681490</v>
      </c>
      <c r="C83" s="133"/>
      <c r="D83" s="21"/>
      <c r="E83" s="21"/>
      <c r="F83" s="21"/>
      <c r="G83" s="81"/>
      <c r="H83" s="82"/>
      <c r="I83" s="81"/>
      <c r="J83" s="18"/>
      <c r="K83" s="20">
        <f t="shared" ref="K83:U83" si="23">SUM(K23:K82)</f>
        <v>1002</v>
      </c>
      <c r="L83" s="20">
        <f t="shared" si="23"/>
        <v>0</v>
      </c>
      <c r="M83" s="20">
        <f t="shared" si="23"/>
        <v>19998</v>
      </c>
      <c r="N83" s="20">
        <f t="shared" si="23"/>
        <v>0</v>
      </c>
      <c r="O83" s="20">
        <f t="shared" si="23"/>
        <v>3998</v>
      </c>
      <c r="P83" s="20">
        <f t="shared" si="23"/>
        <v>0</v>
      </c>
      <c r="Q83" s="20">
        <f t="shared" si="23"/>
        <v>90003</v>
      </c>
      <c r="R83" s="20">
        <f t="shared" si="23"/>
        <v>0</v>
      </c>
      <c r="S83" s="20">
        <f t="shared" si="23"/>
        <v>0</v>
      </c>
      <c r="T83" s="20">
        <f t="shared" si="23"/>
        <v>0</v>
      </c>
      <c r="U83" s="20">
        <f t="shared" si="23"/>
        <v>0</v>
      </c>
      <c r="W83" s="18"/>
      <c r="X83" s="105"/>
      <c r="Y83" s="60"/>
    </row>
    <row r="84" spans="1:25" s="5" customFormat="1" ht="12.75" x14ac:dyDescent="0.2">
      <c r="A84" s="40" t="s">
        <v>115</v>
      </c>
      <c r="C84" s="132"/>
      <c r="F84" s="5" t="s">
        <v>116</v>
      </c>
      <c r="G84" s="83"/>
      <c r="H84" s="84"/>
      <c r="I84" s="83"/>
      <c r="J84" s="51">
        <v>-0.25</v>
      </c>
      <c r="K84" s="52"/>
      <c r="L84" s="53"/>
      <c r="M84" s="53"/>
      <c r="N84" s="52"/>
      <c r="O84" s="53"/>
      <c r="P84" s="53"/>
      <c r="Q84" s="53"/>
      <c r="R84" s="53"/>
      <c r="S84" s="53">
        <f>S83*S20</f>
        <v>0</v>
      </c>
      <c r="T84" s="53">
        <f>T83*T20</f>
        <v>0</v>
      </c>
      <c r="U84" s="53">
        <f>U83*U20</f>
        <v>0</v>
      </c>
      <c r="W84" s="51"/>
      <c r="X84" s="105"/>
      <c r="Y84" s="60"/>
    </row>
    <row r="85" spans="1:25" s="28" customFormat="1" x14ac:dyDescent="0.25">
      <c r="B85" s="30"/>
      <c r="C85" s="134"/>
      <c r="D85" s="30"/>
      <c r="E85" s="30"/>
      <c r="F85" s="99"/>
      <c r="G85" s="81"/>
      <c r="H85" s="85"/>
      <c r="I85" s="86"/>
      <c r="J85" s="39">
        <v>-0.11</v>
      </c>
      <c r="K85" s="31"/>
      <c r="M85" s="31"/>
      <c r="N85" s="29"/>
      <c r="O85" s="31"/>
      <c r="Q85" s="31"/>
      <c r="S85" s="31"/>
      <c r="T85" s="31"/>
      <c r="U85" s="31"/>
      <c r="W85" s="39"/>
      <c r="X85" s="105"/>
      <c r="Y85" s="31"/>
    </row>
    <row r="86" spans="1:25" x14ac:dyDescent="0.25">
      <c r="C86" s="135"/>
      <c r="J86" s="107"/>
      <c r="W86" s="107"/>
      <c r="X86" s="107"/>
    </row>
    <row r="87" spans="1:25" x14ac:dyDescent="0.25">
      <c r="C87" s="135"/>
      <c r="J87" s="107"/>
      <c r="W87" s="107"/>
      <c r="X87" s="107"/>
    </row>
    <row r="88" spans="1:25" s="1" customFormat="1" ht="51.75" x14ac:dyDescent="0.25">
      <c r="A88" s="167"/>
      <c r="B88" s="76" t="s">
        <v>117</v>
      </c>
      <c r="C88" s="78" t="s">
        <v>39</v>
      </c>
      <c r="D88" s="6" t="s">
        <v>40</v>
      </c>
      <c r="E88" s="6" t="s">
        <v>41</v>
      </c>
      <c r="F88" s="6" t="s">
        <v>42</v>
      </c>
      <c r="I88" s="87"/>
      <c r="M88" s="10"/>
      <c r="O88" s="10"/>
      <c r="Q88" s="10"/>
      <c r="T88" s="1" t="s">
        <v>116</v>
      </c>
      <c r="X88" s="104"/>
      <c r="Y88" s="10"/>
    </row>
    <row r="89" spans="1:25" x14ac:dyDescent="0.25">
      <c r="A89" s="167" t="s">
        <v>118</v>
      </c>
      <c r="B89" s="159"/>
      <c r="C89" s="83">
        <f>SUM(C23:C82)</f>
        <v>2893288</v>
      </c>
      <c r="D89" s="83">
        <f>SUM(D23:D82)</f>
        <v>1823087</v>
      </c>
      <c r="E89" s="83">
        <f>SUM(E23:E82)</f>
        <v>627955</v>
      </c>
      <c r="F89" s="83">
        <f>SUM(F23:F82)</f>
        <v>206984</v>
      </c>
      <c r="J89" s="107"/>
      <c r="W89" s="107"/>
      <c r="X89" s="107"/>
    </row>
    <row r="90" spans="1:25" ht="26.25" x14ac:dyDescent="0.25">
      <c r="A90" s="167" t="s">
        <v>119</v>
      </c>
      <c r="B90" s="165">
        <v>1</v>
      </c>
      <c r="C90" s="83">
        <f>C89-C92-C91</f>
        <v>1482964</v>
      </c>
      <c r="D90" s="83">
        <f>D89-D92-D91</f>
        <v>930313</v>
      </c>
      <c r="E90" s="83">
        <f>E89-E92-E91</f>
        <v>353123</v>
      </c>
      <c r="F90" s="83">
        <f>F89-F92-F91</f>
        <v>101942</v>
      </c>
      <c r="J90" s="107"/>
      <c r="W90" s="107"/>
      <c r="X90" s="107"/>
    </row>
    <row r="91" spans="1:25" ht="26.25" x14ac:dyDescent="0.25">
      <c r="A91" s="167" t="s">
        <v>120</v>
      </c>
      <c r="B91" s="165">
        <v>0.54500000000000004</v>
      </c>
      <c r="C91" s="83">
        <f>SUM(C38,C42,C66,C80)</f>
        <v>494624</v>
      </c>
      <c r="D91" s="83">
        <f>SUM(D38,D42,D66,D80)</f>
        <v>315715</v>
      </c>
      <c r="E91" s="83">
        <f>SUM(E38,E42,E66,E80)</f>
        <v>94305</v>
      </c>
      <c r="F91" s="83">
        <f>SUM(F38,F42,F66,F80)</f>
        <v>37753</v>
      </c>
      <c r="J91" s="107"/>
      <c r="W91" s="107"/>
      <c r="X91" s="107"/>
    </row>
    <row r="92" spans="1:25" ht="26.25" x14ac:dyDescent="0.25">
      <c r="A92" s="167" t="s">
        <v>121</v>
      </c>
      <c r="B92" s="165">
        <v>0.375</v>
      </c>
      <c r="C92" s="83">
        <f>SUM(C37,C79)</f>
        <v>915700</v>
      </c>
      <c r="D92" s="83">
        <f>SUM(D37,D79)</f>
        <v>577059</v>
      </c>
      <c r="E92" s="83">
        <f>SUM(E37,E79)</f>
        <v>180527</v>
      </c>
      <c r="F92" s="83">
        <f>SUM(F37,F79)</f>
        <v>67289</v>
      </c>
      <c r="J92" s="107"/>
      <c r="W92" s="107"/>
      <c r="X92" s="107"/>
    </row>
    <row r="93" spans="1:25" s="8" customFormat="1" ht="38.25" x14ac:dyDescent="0.2">
      <c r="A93" s="168" t="s">
        <v>122</v>
      </c>
      <c r="B93" s="5"/>
      <c r="C93" s="166">
        <f>C90*$B$90+C91*$B$91+C92*$B$92</f>
        <v>2095921.58</v>
      </c>
      <c r="D93" s="166">
        <f>D90*$B$90+D91*$B$91+D92*$B$92</f>
        <v>1318774.8</v>
      </c>
      <c r="E93" s="166">
        <f>E90*$B$90+E91*$B$91+E92*$B$92</f>
        <v>472216.85</v>
      </c>
      <c r="F93" s="166">
        <f>F90*$B$90+F91*$B$91+F92*$B$92</f>
        <v>147750.76</v>
      </c>
      <c r="I93" s="88"/>
      <c r="J93" s="19"/>
      <c r="K93" s="12"/>
      <c r="M93" s="2"/>
      <c r="N93" s="7"/>
      <c r="O93" s="2"/>
      <c r="Q93" s="2"/>
      <c r="W93" s="19"/>
      <c r="X93" s="19"/>
      <c r="Y93" s="2"/>
    </row>
    <row r="94" spans="1:25" x14ac:dyDescent="0.25">
      <c r="J94" s="107"/>
      <c r="W94" s="107"/>
      <c r="X94" s="107"/>
    </row>
    <row r="95" spans="1:25" x14ac:dyDescent="0.25">
      <c r="J95" s="107"/>
      <c r="W95" s="107"/>
      <c r="X95" s="107"/>
    </row>
    <row r="96" spans="1:25" x14ac:dyDescent="0.25">
      <c r="J96" s="107"/>
      <c r="W96" s="107"/>
      <c r="X96" s="107"/>
    </row>
    <row r="97" spans="10:24" x14ac:dyDescent="0.25">
      <c r="J97" s="107"/>
      <c r="W97" s="107"/>
      <c r="X97" s="107"/>
    </row>
    <row r="98" spans="10:24" x14ac:dyDescent="0.25">
      <c r="J98" s="107"/>
      <c r="W98" s="107"/>
      <c r="X98" s="107"/>
    </row>
    <row r="99" spans="10:24" x14ac:dyDescent="0.25">
      <c r="J99" s="107"/>
      <c r="W99" s="107"/>
      <c r="X99" s="107"/>
    </row>
    <row r="100" spans="10:24" x14ac:dyDescent="0.25">
      <c r="J100" s="107"/>
      <c r="W100" s="107"/>
      <c r="X100" s="107"/>
    </row>
    <row r="101" spans="10:24" x14ac:dyDescent="0.25">
      <c r="J101" s="107"/>
      <c r="W101" s="107"/>
      <c r="X101" s="107"/>
    </row>
    <row r="102" spans="10:24" x14ac:dyDescent="0.25">
      <c r="J102" s="107"/>
      <c r="W102" s="107"/>
      <c r="X102" s="107"/>
    </row>
    <row r="103" spans="10:24" x14ac:dyDescent="0.25">
      <c r="J103" s="107"/>
      <c r="W103" s="107"/>
      <c r="X103" s="107"/>
    </row>
    <row r="104" spans="10:24" x14ac:dyDescent="0.25">
      <c r="J104" s="107"/>
      <c r="W104" s="107"/>
      <c r="X104" s="107"/>
    </row>
    <row r="105" spans="10:24" x14ac:dyDescent="0.25">
      <c r="J105" s="107"/>
      <c r="W105" s="107"/>
      <c r="X105" s="107"/>
    </row>
    <row r="106" spans="10:24" x14ac:dyDescent="0.25">
      <c r="J106" s="107"/>
      <c r="W106" s="107"/>
      <c r="X106" s="107"/>
    </row>
    <row r="107" spans="10:24" x14ac:dyDescent="0.25">
      <c r="J107" s="107"/>
      <c r="W107" s="107"/>
      <c r="X107" s="107"/>
    </row>
    <row r="108" spans="10:24" x14ac:dyDescent="0.25">
      <c r="J108" s="107"/>
      <c r="W108" s="107"/>
      <c r="X108" s="107"/>
    </row>
    <row r="109" spans="10:24" x14ac:dyDescent="0.25">
      <c r="J109" s="107"/>
      <c r="W109" s="107"/>
      <c r="X109" s="107"/>
    </row>
    <row r="110" spans="10:24" x14ac:dyDescent="0.25">
      <c r="J110" s="107"/>
      <c r="W110" s="107"/>
      <c r="X110" s="107"/>
    </row>
    <row r="111" spans="10:24" x14ac:dyDescent="0.25">
      <c r="J111" s="107"/>
      <c r="W111" s="107"/>
      <c r="X111" s="107"/>
    </row>
  </sheetData>
  <sheetProtection sheet="1" objects="1" scenarios="1"/>
  <protectedRanges>
    <protectedRange sqref="R1:U1048576" name="Range1"/>
    <protectedRange sqref="P1:P1048576" name="Range2"/>
    <protectedRange sqref="N1:N1048576" name="Range3"/>
    <protectedRange sqref="L1:L1048576" name="Range4"/>
  </protectedRanges>
  <autoFilter ref="A22:U85" xr:uid="{C2C0B24B-05F5-4F02-B5A3-D8C16753DD01}"/>
  <mergeCells count="8">
    <mergeCell ref="C18:F18"/>
    <mergeCell ref="G18:J18"/>
    <mergeCell ref="K18:R18"/>
    <mergeCell ref="S18:U18"/>
    <mergeCell ref="K19:L19"/>
    <mergeCell ref="M19:N19"/>
    <mergeCell ref="O19:P19"/>
    <mergeCell ref="Q19:R19"/>
  </mergeCells>
  <conditionalFormatting sqref="L23:L82 L84">
    <cfRule type="expression" dxfId="6" priority="10">
      <formula>$L23&lt;($K23)</formula>
    </cfRule>
  </conditionalFormatting>
  <conditionalFormatting sqref="N84">
    <cfRule type="expression" dxfId="5" priority="9">
      <formula>$M84&gt;$N84</formula>
    </cfRule>
  </conditionalFormatting>
  <conditionalFormatting sqref="P23:P82 P84">
    <cfRule type="expression" dxfId="4" priority="7">
      <formula>$O23&gt;$P23</formula>
    </cfRule>
  </conditionalFormatting>
  <conditionalFormatting sqref="R23:R41 R43:R56 R59:R82 R84">
    <cfRule type="expression" dxfId="3" priority="6">
      <formula>$Q23&gt;$R23</formula>
    </cfRule>
  </conditionalFormatting>
  <conditionalFormatting sqref="R58">
    <cfRule type="expression" dxfId="2" priority="17">
      <formula>$Q57&gt;$R58</formula>
    </cfRule>
  </conditionalFormatting>
  <conditionalFormatting sqref="W23:X23 J23:J82 W24:W82 X24:X85">
    <cfRule type="cellIs" dxfId="1" priority="1" operator="between">
      <formula>$J$85</formula>
      <formula>$J$84</formula>
    </cfRule>
    <cfRule type="cellIs" dxfId="0" priority="2" operator="lessThan">
      <formula>$J$84</formula>
    </cfRule>
  </conditionalFormatting>
  <hyperlinks>
    <hyperlink ref="T22" location="pagrindimas!N4" display="rekomenduojama ir minimali norma &quot;pagrindimas&quot; lape" xr:uid="{853DC302-FA0B-4070-B6D8-928FE825C45F}"/>
    <hyperlink ref="U22" location="pagrindimas!P4" display="rekomenduojama ir minimali norma &quot;pagrindimas&quot; lape" xr:uid="{6C409BC5-8B8E-4096-9828-7C88173EF3B8}"/>
  </hyperlinks>
  <pageMargins left="0.7" right="0.7" top="0.75" bottom="0.75" header="0.3" footer="0.3"/>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34A7-E014-4FE3-B2E6-5F0EECED4F35}">
  <sheetPr>
    <pageSetUpPr fitToPage="1"/>
  </sheetPr>
  <dimension ref="B1:L9"/>
  <sheetViews>
    <sheetView topLeftCell="E1" zoomScaleNormal="100" workbookViewId="0">
      <selection activeCell="E3" sqref="E3"/>
    </sheetView>
  </sheetViews>
  <sheetFormatPr defaultRowHeight="15" x14ac:dyDescent="0.25"/>
  <cols>
    <col min="1" max="1" width="3.7109375" customWidth="1"/>
    <col min="2" max="2" width="60.28515625" customWidth="1"/>
    <col min="3" max="3" width="39.42578125" style="32" customWidth="1"/>
    <col min="4" max="4" width="39.85546875" customWidth="1"/>
    <col min="5" max="5" width="34" customWidth="1"/>
    <col min="6" max="6" width="33.7109375" customWidth="1"/>
    <col min="7" max="7" width="37.42578125" customWidth="1"/>
    <col min="8" max="8" width="29" hidden="1" customWidth="1"/>
    <col min="9" max="9" width="34.5703125" customWidth="1"/>
    <col min="10" max="10" width="26.28515625" customWidth="1"/>
    <col min="11" max="11" width="35" customWidth="1"/>
    <col min="12" max="12" width="26.7109375" customWidth="1"/>
  </cols>
  <sheetData>
    <row r="1" spans="2:12" s="37" customFormat="1" ht="31.5" x14ac:dyDescent="0.25">
      <c r="B1" s="90" t="s">
        <v>123</v>
      </c>
      <c r="C1" s="55" t="s">
        <v>124</v>
      </c>
      <c r="D1" s="56" t="s">
        <v>125</v>
      </c>
      <c r="E1" s="36" t="s">
        <v>126</v>
      </c>
      <c r="F1" s="36" t="s">
        <v>127</v>
      </c>
      <c r="G1" s="36" t="s">
        <v>128</v>
      </c>
      <c r="H1" s="36" t="s">
        <v>129</v>
      </c>
      <c r="I1" s="181" t="s">
        <v>130</v>
      </c>
      <c r="J1" s="181"/>
      <c r="K1" s="181" t="s">
        <v>131</v>
      </c>
      <c r="L1" s="181"/>
    </row>
    <row r="2" spans="2:12" s="35" customFormat="1" ht="51" x14ac:dyDescent="0.25">
      <c r="B2" s="34" t="s">
        <v>132</v>
      </c>
      <c r="C2" s="35" t="s">
        <v>133</v>
      </c>
      <c r="D2" s="35" t="s">
        <v>134</v>
      </c>
      <c r="E2" s="106" t="s">
        <v>135</v>
      </c>
      <c r="F2" s="35" t="s">
        <v>136</v>
      </c>
      <c r="G2" s="35" t="s">
        <v>137</v>
      </c>
      <c r="H2" s="35" t="s">
        <v>138</v>
      </c>
      <c r="I2" s="35" t="s">
        <v>139</v>
      </c>
      <c r="K2" s="35" t="s">
        <v>140</v>
      </c>
    </row>
    <row r="3" spans="2:12" s="33" customFormat="1" ht="386.25" customHeight="1" x14ac:dyDescent="0.25">
      <c r="B3" s="33" t="s">
        <v>141</v>
      </c>
      <c r="C3" s="33" t="s">
        <v>142</v>
      </c>
      <c r="D3" s="58" t="s">
        <v>143</v>
      </c>
      <c r="E3" s="33" t="s">
        <v>144</v>
      </c>
      <c r="F3" s="59" t="s">
        <v>145</v>
      </c>
      <c r="G3" s="33" t="s">
        <v>146</v>
      </c>
      <c r="H3" s="33" t="s">
        <v>147</v>
      </c>
      <c r="I3" s="33" t="s">
        <v>148</v>
      </c>
      <c r="J3" s="38" t="s">
        <v>149</v>
      </c>
      <c r="K3" s="33" t="s">
        <v>150</v>
      </c>
      <c r="L3" s="38" t="s">
        <v>151</v>
      </c>
    </row>
    <row r="6" spans="2:12" x14ac:dyDescent="0.25">
      <c r="B6" t="s">
        <v>152</v>
      </c>
      <c r="C6" s="57" t="s">
        <v>153</v>
      </c>
    </row>
    <row r="7" spans="2:12" x14ac:dyDescent="0.25">
      <c r="B7" t="s">
        <v>154</v>
      </c>
      <c r="C7" s="57" t="s">
        <v>155</v>
      </c>
    </row>
    <row r="8" spans="2:12" x14ac:dyDescent="0.25">
      <c r="B8" t="s">
        <v>156</v>
      </c>
      <c r="C8" s="91" t="s">
        <v>157</v>
      </c>
    </row>
    <row r="9" spans="2:12" x14ac:dyDescent="0.25">
      <c r="B9" t="s">
        <v>158</v>
      </c>
      <c r="C9" s="57" t="s">
        <v>159</v>
      </c>
    </row>
  </sheetData>
  <sheetProtection sheet="1" objects="1" scenarios="1" formatCells="0" formatColumns="0" formatRows="0" insertColumns="0" insertRows="0" insertHyperlinks="0" deleteColumns="0" deleteRows="0" sort="0" autoFilter="0" pivotTables="0"/>
  <mergeCells count="2">
    <mergeCell ref="K1:L1"/>
    <mergeCell ref="I1:J1"/>
  </mergeCells>
  <hyperlinks>
    <hyperlink ref="C7" r:id="rId1" display="https://www.esinvesticijos.lt/dokumentai/fi-33-01-fi-33-02-kompleksiniu-paslaugu-seimai-fi-nustatymo-tyrimas" xr:uid="{9A00262F-BBCA-4575-A7E9-DC5BB4405E80}"/>
    <hyperlink ref="C6" r:id="rId2" display="https://www.esinvesticijos.lt/dokumentai/fi-24-01-fi-24-03-psichologo-psichoterapeuto-soc-darbuotojo-ir-kt-specialistu-du-fi-nustatymo-tyrimas" xr:uid="{742C924C-7560-46BA-B98C-2A5785B387F6}"/>
    <hyperlink ref="C9" r:id="rId3" display="https://eur-lex.europa.eu/legal-content/EN/TXT/?uri=CELEX%3A32021R1060" xr:uid="{9F9DFB2B-DFF1-4718-8D12-F618839B96BB}"/>
  </hyperlinks>
  <pageMargins left="0.7" right="0.7" top="0.75" bottom="0.75" header="0.3" footer="0.3"/>
  <pageSetup paperSize="9" fitToWidth="0"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B168CDDCDEFBEA4C8E38340A8D90E797" ma:contentTypeVersion="22" ma:contentTypeDescription="Kurkite naują dokumentą." ma:contentTypeScope="" ma:versionID="f49a44faad85bf2db754ed7d5b78267b">
  <xsd:schema xmlns:xsd="http://www.w3.org/2001/XMLSchema" xmlns:xs="http://www.w3.org/2001/XMLSchema" xmlns:p="http://schemas.microsoft.com/office/2006/metadata/properties" xmlns:ns1="http://schemas.microsoft.com/sharepoint/v3" xmlns:ns2="fe4ce506-306b-4f3b-858c-685e4322984b" xmlns:ns3="5f51944c-8b8a-4190-a6e0-8c0a63b86cc1" targetNamespace="http://schemas.microsoft.com/office/2006/metadata/properties" ma:root="true" ma:fieldsID="ddc55497d04b9d11e6dbb3955fa77159" ns1:_="" ns2:_="" ns3:_="">
    <xsd:import namespace="http://schemas.microsoft.com/sharepoint/v3"/>
    <xsd:import namespace="fe4ce506-306b-4f3b-858c-685e4322984b"/>
    <xsd:import namespace="5f51944c-8b8a-4190-a6e0-8c0a63b86c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Bendrosios atitikties strategijos ypatybės" ma:hidden="true" ma:internalName="_ip_UnifiedCompliancePolicyProperties">
      <xsd:simpleType>
        <xsd:restriction base="dms:Note"/>
      </xsd:simpleType>
    </xsd:element>
    <xsd:element name="_ip_UnifiedCompliancePolicyUIAction" ma:index="26" nillable="true" ma:displayName="Bendrosios atitikties strategijos UI veiksmas"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4ce506-306b-4f3b-858c-685e432298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124d5b8b-fd61-4fa7-9c1d-9263231575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51944c-8b8a-4190-a6e0-8c0a63b86cc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68674d-1fc8-44f9-b587-d4e902c10604}" ma:internalName="TaxCatchAll" ma:showField="CatchAllData" ma:web="5f51944c-8b8a-4190-a6e0-8c0a63b86c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e4ce506-306b-4f3b-858c-685e4322984b">
      <Terms xmlns="http://schemas.microsoft.com/office/infopath/2007/PartnerControls"/>
    </lcf76f155ced4ddcb4097134ff3c332f>
    <TaxCatchAll xmlns="5f51944c-8b8a-4190-a6e0-8c0a63b86cc1" xsi:nil="true"/>
    <SharedWithUsers xmlns="5f51944c-8b8a-4190-a6e0-8c0a63b86cc1">
      <UserInfo>
        <DisplayName>Austėja Tamaliūnaitė</DisplayName>
        <AccountId>3093</AccountId>
        <AccountType/>
      </UserInfo>
      <UserInfo>
        <DisplayName>Ignas Rubikas</DisplayName>
        <AccountId>6</AccountId>
        <AccountType/>
      </UserInfo>
      <UserInfo>
        <DisplayName>Audronė Astrauskienė</DisplayName>
        <AccountId>105</AccountId>
        <AccountType/>
      </UserInfo>
      <UserInfo>
        <DisplayName>Jolita Matuzienė</DisplayName>
        <AccountId>3535</AccountId>
        <AccountType/>
      </UserInfo>
      <UserInfo>
        <DisplayName>Audrius Ščeponavičius</DisplayName>
        <AccountId>77</AccountId>
        <AccountType/>
      </UserInfo>
    </SharedWithUsers>
  </documentManagement>
</p:properties>
</file>

<file path=customXml/itemProps1.xml><?xml version="1.0" encoding="utf-8"?>
<ds:datastoreItem xmlns:ds="http://schemas.openxmlformats.org/officeDocument/2006/customXml" ds:itemID="{136C27E9-BA0A-4434-8D1A-5669C5CC2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4ce506-306b-4f3b-858c-685e4322984b"/>
    <ds:schemaRef ds:uri="5f51944c-8b8a-4190-a6e0-8c0a63b8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35007-6C8D-402E-A4AF-55EBACF37A17}">
  <ds:schemaRefs>
    <ds:schemaRef ds:uri="http://schemas.microsoft.com/sharepoint/v3/contenttype/forms"/>
  </ds:schemaRefs>
</ds:datastoreItem>
</file>

<file path=customXml/itemProps3.xml><?xml version="1.0" encoding="utf-8"?>
<ds:datastoreItem xmlns:ds="http://schemas.openxmlformats.org/officeDocument/2006/customXml" ds:itemID="{EEF5B0C1-E043-4298-B0F9-A803815E2080}">
  <ds:schemaRefs>
    <ds:schemaRef ds:uri="http://schemas.microsoft.com/office/2006/metadata/properties"/>
    <ds:schemaRef ds:uri="http://schemas.microsoft.com/office/infopath/2007/PartnerControls"/>
    <ds:schemaRef ds:uri="http://schemas.microsoft.com/sharepoint/v3"/>
    <ds:schemaRef ds:uri="fe4ce506-306b-4f3b-858c-685e4322984b"/>
    <ds:schemaRef ds:uri="5f51944c-8b8a-4190-a6e0-8c0a63b86c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Paaiškinimas</vt:lpstr>
      <vt:lpstr>planas</vt:lpstr>
      <vt:lpstr>pagrindimas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Rubikas</dc:creator>
  <cp:keywords/>
  <dc:description/>
  <cp:lastModifiedBy>Ingrida Grincevičiūtė</cp:lastModifiedBy>
  <cp:revision/>
  <dcterms:created xsi:type="dcterms:W3CDTF">2015-06-05T18:17:20Z</dcterms:created>
  <dcterms:modified xsi:type="dcterms:W3CDTF">2026-01-19T11:49:44Z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0x010100B168CDDCDEFBEA4C8E38340A8D90E797</vt:lpwstr>
  </property>
  <property fmtid="{D5CDD505-2E9C-101B-9397-08002B2CF9AE}" pid="3" name="MediaServiceImageTags">
    <vt:lpwstr/>
  </property>
</Properties>
</file>